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ocuments\Educ Nat\publications persos\Articles\Article MEE\"/>
    </mc:Choice>
  </mc:AlternateContent>
  <xr:revisionPtr revIDLastSave="0" documentId="13_ncr:1_{13D49E20-0A2D-4349-A507-36F67E8D44DF}" xr6:coauthVersionLast="47" xr6:coauthVersionMax="47" xr10:uidLastSave="{00000000-0000-0000-0000-000000000000}"/>
  <bookViews>
    <workbookView xWindow="24" yWindow="24" windowWidth="23016" windowHeight="12216" tabRatio="755" activeTab="1" xr2:uid="{C1873477-AB33-4B88-A153-DC71651471EB}"/>
  </bookViews>
  <sheets>
    <sheet name="Etudes primaires" sheetId="8" r:id="rId1"/>
    <sheet name="Méta-analy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D35" i="2" s="1"/>
  <c r="C34" i="2"/>
  <c r="D34" i="2" s="1"/>
  <c r="B26" i="8"/>
  <c r="B27" i="8"/>
  <c r="B28" i="8"/>
  <c r="B29" i="8"/>
  <c r="C34" i="8"/>
  <c r="D34" i="8" s="1"/>
  <c r="C35" i="8"/>
  <c r="D35" i="8" s="1"/>
  <c r="C36" i="8"/>
  <c r="D36" i="8" s="1"/>
  <c r="C37" i="8"/>
  <c r="D37" i="8" s="1"/>
  <c r="C38" i="8"/>
  <c r="D38" i="8" s="1"/>
  <c r="C33" i="8"/>
  <c r="D33" i="8" s="1"/>
  <c r="A18" i="2"/>
  <c r="B18" i="2" s="1"/>
  <c r="E6" i="2"/>
  <c r="E7" i="2"/>
  <c r="E8" i="2"/>
  <c r="E9" i="2"/>
  <c r="E10" i="2"/>
  <c r="E5" i="2"/>
  <c r="H6" i="2"/>
  <c r="H7" i="2"/>
  <c r="H8" i="2"/>
  <c r="H9" i="2"/>
  <c r="H10" i="2"/>
  <c r="H5" i="2"/>
  <c r="B25" i="8"/>
  <c r="B24" i="8"/>
  <c r="D23" i="2"/>
  <c r="E20" i="8"/>
  <c r="F20" i="8" s="1"/>
  <c r="G20" i="8" s="1"/>
  <c r="D29" i="8" s="1"/>
  <c r="E19" i="8"/>
  <c r="F19" i="8" s="1"/>
  <c r="E18" i="8"/>
  <c r="F18" i="8" s="1"/>
  <c r="G18" i="8" s="1"/>
  <c r="D27" i="8" s="1"/>
  <c r="E17" i="8"/>
  <c r="F17" i="8" s="1"/>
  <c r="E16" i="8"/>
  <c r="F16" i="8" s="1"/>
  <c r="G16" i="8" s="1"/>
  <c r="D25" i="8" s="1"/>
  <c r="E15" i="8"/>
  <c r="F15" i="8" s="1"/>
  <c r="M11" i="8"/>
  <c r="J11" i="8"/>
  <c r="H11" i="8"/>
  <c r="I11" i="8" s="1"/>
  <c r="M10" i="8"/>
  <c r="J10" i="8"/>
  <c r="H10" i="8"/>
  <c r="I10" i="8" s="1"/>
  <c r="M9" i="8"/>
  <c r="J9" i="8"/>
  <c r="H9" i="8"/>
  <c r="I9" i="8" s="1"/>
  <c r="M8" i="8"/>
  <c r="J8" i="8"/>
  <c r="H8" i="8"/>
  <c r="I8" i="8" s="1"/>
  <c r="M7" i="8"/>
  <c r="J7" i="8"/>
  <c r="H7" i="8"/>
  <c r="I7" i="8" s="1"/>
  <c r="M6" i="8"/>
  <c r="J6" i="8"/>
  <c r="H6" i="8"/>
  <c r="I6" i="8" s="1"/>
  <c r="D22" i="2"/>
  <c r="D24" i="2"/>
  <c r="D25" i="2"/>
  <c r="D26" i="2"/>
  <c r="D27" i="2"/>
  <c r="A14" i="2" l="1"/>
  <c r="D14" i="2" s="1"/>
  <c r="E14" i="2" s="1"/>
  <c r="B14" i="2"/>
  <c r="C14" i="2" s="1"/>
  <c r="D28" i="2" s="1"/>
  <c r="C18" i="2"/>
  <c r="D18" i="2"/>
  <c r="G17" i="8"/>
  <c r="D26" i="8" s="1"/>
  <c r="G19" i="8"/>
  <c r="G15" i="8"/>
  <c r="K6" i="8"/>
  <c r="L6" i="8"/>
  <c r="K8" i="8"/>
  <c r="L8" i="8"/>
  <c r="K10" i="8"/>
  <c r="L10" i="8"/>
  <c r="K16" i="8"/>
  <c r="J16" i="8"/>
  <c r="H16" i="8"/>
  <c r="I16" i="8" s="1"/>
  <c r="K7" i="8"/>
  <c r="L7" i="8"/>
  <c r="K9" i="8"/>
  <c r="L9" i="8"/>
  <c r="K11" i="8"/>
  <c r="L11" i="8"/>
  <c r="H17" i="8"/>
  <c r="I17" i="8" s="1"/>
  <c r="K18" i="8"/>
  <c r="J18" i="8"/>
  <c r="H18" i="8"/>
  <c r="I18" i="8" s="1"/>
  <c r="K20" i="8"/>
  <c r="J20" i="8"/>
  <c r="H20" i="8"/>
  <c r="I20" i="8" s="1"/>
  <c r="E18" i="2" l="1"/>
  <c r="I8" i="2" s="1"/>
  <c r="J8" i="2" s="1"/>
  <c r="B28" i="2"/>
  <c r="H19" i="8"/>
  <c r="I19" i="8" s="1"/>
  <c r="D28" i="8"/>
  <c r="K17" i="8"/>
  <c r="J17" i="8"/>
  <c r="F14" i="2"/>
  <c r="G14" i="2"/>
  <c r="I6" i="2"/>
  <c r="J6" i="2" s="1"/>
  <c r="I7" i="2"/>
  <c r="J7" i="2" s="1"/>
  <c r="I9" i="2"/>
  <c r="J9" i="2" s="1"/>
  <c r="I5" i="2"/>
  <c r="J5" i="2" s="1"/>
  <c r="J15" i="8"/>
  <c r="D24" i="8"/>
  <c r="J19" i="8"/>
  <c r="H15" i="8"/>
  <c r="I15" i="8" s="1"/>
  <c r="K15" i="8"/>
  <c r="K19" i="8"/>
  <c r="I10" i="2" l="1"/>
  <c r="J10" i="2" s="1"/>
  <c r="G18" i="2"/>
  <c r="H18" i="2" s="1"/>
  <c r="D29" i="2" s="1"/>
  <c r="F18" i="2"/>
  <c r="B29" i="2" l="1"/>
  <c r="L18" i="2"/>
  <c r="I18" i="2"/>
  <c r="J18" i="2" s="1"/>
  <c r="K18" i="2"/>
  <c r="G6" i="2" l="1"/>
  <c r="G7" i="2"/>
  <c r="G8" i="2"/>
  <c r="G9" i="2"/>
  <c r="G10" i="2"/>
  <c r="G5" i="2"/>
</calcChain>
</file>

<file path=xl/sharedStrings.xml><?xml version="1.0" encoding="utf-8"?>
<sst xmlns="http://schemas.openxmlformats.org/spreadsheetml/2006/main" count="110" uniqueCount="61">
  <si>
    <t>na</t>
  </si>
  <si>
    <t>nb</t>
  </si>
  <si>
    <t>g</t>
  </si>
  <si>
    <t xml:space="preserve">facteur correctif w </t>
  </si>
  <si>
    <t>variance de g</t>
  </si>
  <si>
    <t>A</t>
  </si>
  <si>
    <t>B</t>
  </si>
  <si>
    <t>C</t>
  </si>
  <si>
    <t>D</t>
  </si>
  <si>
    <t>E</t>
  </si>
  <si>
    <t>F</t>
  </si>
  <si>
    <t>ma</t>
  </si>
  <si>
    <t>mb</t>
  </si>
  <si>
    <t>sa</t>
  </si>
  <si>
    <t>sb</t>
  </si>
  <si>
    <t>1,96*sg</t>
  </si>
  <si>
    <t>M</t>
  </si>
  <si>
    <t>* : calculs pour le modèle des effets aléatoires</t>
  </si>
  <si>
    <t>M*</t>
  </si>
  <si>
    <t>Modèle de l'effet fixe</t>
  </si>
  <si>
    <t>Modèle des effets aléatoires</t>
  </si>
  <si>
    <t>k</t>
  </si>
  <si>
    <t>k-1</t>
  </si>
  <si>
    <t>g²</t>
  </si>
  <si>
    <t>Test Z</t>
  </si>
  <si>
    <t>Taille d'effet globale</t>
  </si>
  <si>
    <t>IA</t>
  </si>
  <si>
    <t>U3</t>
  </si>
  <si>
    <t>variance groupée
(3)</t>
  </si>
  <si>
    <t>écart-type groupé
(3)</t>
  </si>
  <si>
    <t>d de Cohen
(2)</t>
  </si>
  <si>
    <t xml:space="preserve"> g de Hedges
(4)</t>
  </si>
  <si>
    <t>erreur type de g</t>
  </si>
  <si>
    <t>Tailles d'effets de 6 études fictives</t>
  </si>
  <si>
    <t>facteur correctif w
(5)</t>
  </si>
  <si>
    <t xml:space="preserve"> Delta de Glass
(6)</t>
  </si>
  <si>
    <t>variance de g
(8)</t>
  </si>
  <si>
    <t>z = g/sg
(10)</t>
  </si>
  <si>
    <t>poids (P)
(12)</t>
  </si>
  <si>
    <t>M
(11)</t>
  </si>
  <si>
    <t>z = M*/sM*
(22)</t>
  </si>
  <si>
    <t>variance de M
(13)</t>
  </si>
  <si>
    <t>z = M/sM
(15)</t>
  </si>
  <si>
    <t>variance* de g
(16)</t>
  </si>
  <si>
    <t>poids*(P*)
(17)</t>
  </si>
  <si>
    <t>M*
(18)</t>
  </si>
  <si>
    <t>variance de M*
(19)</t>
  </si>
  <si>
    <t>T²
(22)</t>
  </si>
  <si>
    <t>Q
(23)</t>
  </si>
  <si>
    <t>C
(24)</t>
  </si>
  <si>
    <t>Le numéro des équations utilisées pour les calculs est indiqué sous les intitulés entre parenthèses</t>
  </si>
  <si>
    <t>Interprétation des tailles d'effets</t>
  </si>
  <si>
    <t>Diagramme en forêt</t>
  </si>
  <si>
    <t>Intervalle de confiance du g de Hedges</t>
  </si>
  <si>
    <t>Tailles d'effet (les trois méthodes de calcul)</t>
  </si>
  <si>
    <t>erreur type de M
(14)</t>
  </si>
  <si>
    <t>valeur p</t>
  </si>
  <si>
    <t>borne inférieure</t>
  </si>
  <si>
    <t>borne supérieure</t>
  </si>
  <si>
    <t>erreur type de M*
(19)</t>
  </si>
  <si>
    <t>erreur type de g
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</si>
</sst>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 applyAlignment="1">
      <alignment wrapText="1"/>
    </xf>
    <xf numFmtId="0" fontId="4" fillId="0" borderId="0" xfId="0" applyFont="1"/>
    <xf numFmtId="165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'Etudes primaires'!$D$24:$D$29</c:f>
                <c:numCache>
                  <c:formatCode>General</c:formatCode>
                  <c:ptCount val="6"/>
                  <c:pt idx="0">
                    <c:v>0.34344703762938494</c:v>
                  </c:pt>
                  <c:pt idx="1">
                    <c:v>0.20095500665701688</c:v>
                  </c:pt>
                  <c:pt idx="2">
                    <c:v>0.35576463702535904</c:v>
                  </c:pt>
                  <c:pt idx="3">
                    <c:v>0.43767123170622851</c:v>
                  </c:pt>
                  <c:pt idx="4">
                    <c:v>0.40476026462419351</c:v>
                  </c:pt>
                  <c:pt idx="5">
                    <c:v>0.29994677540389297</c:v>
                  </c:pt>
                </c:numCache>
              </c:numRef>
            </c:plus>
            <c:minus>
              <c:numRef>
                <c:f>'Etudes primaires'!$D$24:$D$29</c:f>
                <c:numCache>
                  <c:formatCode>General</c:formatCode>
                  <c:ptCount val="6"/>
                  <c:pt idx="0">
                    <c:v>0.34344703762938494</c:v>
                  </c:pt>
                  <c:pt idx="1">
                    <c:v>0.20095500665701688</c:v>
                  </c:pt>
                  <c:pt idx="2">
                    <c:v>0.35576463702535904</c:v>
                  </c:pt>
                  <c:pt idx="3">
                    <c:v>0.43767123170622851</c:v>
                  </c:pt>
                  <c:pt idx="4">
                    <c:v>0.40476026462419351</c:v>
                  </c:pt>
                  <c:pt idx="5">
                    <c:v>0.29994677540389297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'Etudes primaires'!$B$24:$B$29</c:f>
              <c:numCache>
                <c:formatCode>0.000</c:formatCode>
                <c:ptCount val="6"/>
                <c:pt idx="0">
                  <c:v>0.27735640148036095</c:v>
                </c:pt>
                <c:pt idx="1">
                  <c:v>0.66438509989113559</c:v>
                </c:pt>
                <c:pt idx="2">
                  <c:v>9.4524373360638306E-2</c:v>
                </c:pt>
                <c:pt idx="3">
                  <c:v>0.36654634845797818</c:v>
                </c:pt>
                <c:pt idx="4">
                  <c:v>0.46180797677414176</c:v>
                </c:pt>
                <c:pt idx="5">
                  <c:v>0.18516464424648887</c:v>
                </c:pt>
              </c:numCache>
            </c:numRef>
          </c:xVal>
          <c:yVal>
            <c:numRef>
              <c:f>'Etudes primaires'!$C$24:$C$29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43-4A76-8507-5785F8AA5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370376"/>
        <c:axId val="525368080"/>
      </c:scatterChart>
      <c:valAx>
        <c:axId val="52537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368080"/>
        <c:crosses val="autoZero"/>
        <c:crossBetween val="midCat"/>
        <c:majorUnit val="0.2"/>
      </c:valAx>
      <c:valAx>
        <c:axId val="525368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5370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6268834831183E-2"/>
          <c:y val="7.0834421371003528E-2"/>
          <c:w val="0.86652669923630232"/>
          <c:h val="0.7678456347083594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6"/>
            <c:marker>
              <c:symbol val="diamond"/>
              <c:size val="10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285-49BE-B5C2-B6387E17DAC9}"/>
              </c:ext>
            </c:extLst>
          </c:dPt>
          <c:dPt>
            <c:idx val="7"/>
            <c:marker>
              <c:symbol val="diamond"/>
              <c:size val="10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285-49BE-B5C2-B6387E17DAC9}"/>
              </c:ext>
            </c:extLst>
          </c:dPt>
          <c:errBars>
            <c:errDir val="x"/>
            <c:errBarType val="both"/>
            <c:errValType val="cust"/>
            <c:noEndCap val="0"/>
            <c:plus>
              <c:numRef>
                <c:f>'Méta-analyse'!$D$22:$D$29</c:f>
                <c:numCache>
                  <c:formatCode>General</c:formatCode>
                  <c:ptCount val="8"/>
                  <c:pt idx="0">
                    <c:v>0.34344703762938494</c:v>
                  </c:pt>
                  <c:pt idx="1">
                    <c:v>0.20095500665701688</c:v>
                  </c:pt>
                  <c:pt idx="2">
                    <c:v>0.35576463702535904</c:v>
                  </c:pt>
                  <c:pt idx="3">
                    <c:v>0.43767123170622851</c:v>
                  </c:pt>
                  <c:pt idx="4">
                    <c:v>0.40476026462419351</c:v>
                  </c:pt>
                  <c:pt idx="5">
                    <c:v>0.29994677540389297</c:v>
                  </c:pt>
                  <c:pt idx="6">
                    <c:v>0.12541132901950677</c:v>
                  </c:pt>
                  <c:pt idx="7">
                    <c:v>0.20627298099817809</c:v>
                  </c:pt>
                </c:numCache>
              </c:numRef>
            </c:plus>
            <c:minus>
              <c:numRef>
                <c:f>'Méta-analyse'!$D$22:$D$29</c:f>
                <c:numCache>
                  <c:formatCode>General</c:formatCode>
                  <c:ptCount val="8"/>
                  <c:pt idx="0">
                    <c:v>0.34344703762938494</c:v>
                  </c:pt>
                  <c:pt idx="1">
                    <c:v>0.20095500665701688</c:v>
                  </c:pt>
                  <c:pt idx="2">
                    <c:v>0.35576463702535904</c:v>
                  </c:pt>
                  <c:pt idx="3">
                    <c:v>0.43767123170622851</c:v>
                  </c:pt>
                  <c:pt idx="4">
                    <c:v>0.40476026462419351</c:v>
                  </c:pt>
                  <c:pt idx="5">
                    <c:v>0.29994677540389297</c:v>
                  </c:pt>
                  <c:pt idx="6">
                    <c:v>0.12541132901950677</c:v>
                  </c:pt>
                  <c:pt idx="7">
                    <c:v>0.20627298099817809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'Méta-analyse'!$B$22:$B$29</c:f>
              <c:numCache>
                <c:formatCode>0.000</c:formatCode>
                <c:ptCount val="8"/>
                <c:pt idx="0">
                  <c:v>0.27735640148036095</c:v>
                </c:pt>
                <c:pt idx="1">
                  <c:v>0.66438509989113559</c:v>
                </c:pt>
                <c:pt idx="2">
                  <c:v>9.4524373360638306E-2</c:v>
                </c:pt>
                <c:pt idx="3">
                  <c:v>0.36654634845797818</c:v>
                </c:pt>
                <c:pt idx="4">
                  <c:v>0.46180797677414176</c:v>
                </c:pt>
                <c:pt idx="5">
                  <c:v>0.18516464424648887</c:v>
                </c:pt>
                <c:pt idx="6">
                  <c:v>0.41428749075789617</c:v>
                </c:pt>
                <c:pt idx="7">
                  <c:v>0.35823457483848181</c:v>
                </c:pt>
              </c:numCache>
            </c:numRef>
          </c:xVal>
          <c:yVal>
            <c:numRef>
              <c:f>'Méta-analyse'!$C$22:$C$29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85-49BE-B5C2-B6387E17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89864"/>
        <c:axId val="502586256"/>
      </c:scatterChart>
      <c:valAx>
        <c:axId val="502589864"/>
        <c:scaling>
          <c:orientation val="minMax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86256"/>
        <c:crosses val="autoZero"/>
        <c:crossBetween val="midCat"/>
        <c:majorUnit val="0.2"/>
      </c:valAx>
      <c:valAx>
        <c:axId val="502586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2589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601133</xdr:colOff>
      <xdr:row>21</xdr:row>
      <xdr:rowOff>144925</xdr:rowOff>
    </xdr:from>
    <xdr:to>
      <xdr:col>8</xdr:col>
      <xdr:colOff>609600</xdr:colOff>
      <xdr:row>31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B4DE760-0173-4837-B98F-5ED490971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90440</xdr:colOff>
      <xdr:row>19</xdr:row>
      <xdr:rowOff>114300</xdr:rowOff>
    </xdr:from>
    <xdr:to>
      <xdr:col>8</xdr:col>
      <xdr:colOff>428625</xdr:colOff>
      <xdr:row>33</xdr:row>
      <xdr:rowOff>19050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94927FF-1EB6-41E2-A553-093F3191C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5343-C60E-4107-B119-7E68E3E143C9}">
  <dimension ref="A1:M38"/>
  <sheetViews>
    <sheetView topLeftCell="A10" zoomScale="90" zoomScaleNormal="90" workbookViewId="0">
      <selection activeCell="J29" sqref="J29"/>
    </sheetView>
  </sheetViews>
  <sheetFormatPr baseColWidth="10" defaultRowHeight="14.4" x14ac:dyDescent="0.3"/>
  <cols>
    <col min="1" max="1" width="3.33203125" customWidth="1"/>
    <col min="2" max="2" width="9.109375" customWidth="1"/>
    <col min="3" max="3" width="5.109375" customWidth="1"/>
    <col min="4" max="4" width="8.5546875" customWidth="1"/>
    <col min="5" max="5" width="10.88671875" customWidth="1"/>
    <col min="6" max="6" width="12.33203125" customWidth="1"/>
    <col min="7" max="7" width="15.44140625" customWidth="1"/>
    <col min="8" max="8" width="17.5546875" customWidth="1"/>
    <col min="9" max="9" width="17" customWidth="1"/>
    <col min="10" max="10" width="16.6640625" customWidth="1"/>
    <col min="11" max="11" width="10.5546875" customWidth="1"/>
    <col min="12" max="12" width="14.77734375" customWidth="1"/>
    <col min="13" max="13" width="14.5546875" customWidth="1"/>
  </cols>
  <sheetData>
    <row r="1" spans="1:13" ht="18" x14ac:dyDescent="0.35">
      <c r="A1" s="39" t="s">
        <v>33</v>
      </c>
      <c r="B1" s="1"/>
      <c r="C1" s="1"/>
      <c r="D1" s="26"/>
      <c r="E1" s="1"/>
      <c r="G1" s="1"/>
      <c r="H1" s="1"/>
      <c r="I1" s="1"/>
      <c r="J1" s="1"/>
      <c r="K1" s="1"/>
      <c r="L1" s="1"/>
      <c r="M1" s="1"/>
    </row>
    <row r="2" spans="1:13" x14ac:dyDescent="0.3">
      <c r="A2" t="s">
        <v>50</v>
      </c>
      <c r="B2" s="1"/>
      <c r="C2" s="1"/>
      <c r="D2" s="26"/>
      <c r="E2" s="1"/>
      <c r="G2" s="1"/>
      <c r="H2" s="1"/>
      <c r="I2" s="1"/>
      <c r="J2" s="1"/>
      <c r="K2" s="1"/>
      <c r="L2" s="1"/>
      <c r="M2" s="1"/>
    </row>
    <row r="3" spans="1:13" x14ac:dyDescent="0.3">
      <c r="B3" s="1"/>
      <c r="C3" s="1"/>
      <c r="D3" s="26"/>
      <c r="E3" s="1"/>
      <c r="G3" s="1"/>
      <c r="H3" s="1"/>
      <c r="I3" s="1"/>
      <c r="J3" s="1"/>
      <c r="K3" s="1"/>
      <c r="L3" s="1"/>
      <c r="M3" s="1"/>
    </row>
    <row r="4" spans="1:13" x14ac:dyDescent="0.3">
      <c r="A4" s="21" t="s">
        <v>54</v>
      </c>
      <c r="B4" s="1"/>
      <c r="C4" s="1"/>
      <c r="D4" s="1"/>
      <c r="E4" s="1"/>
      <c r="G4" s="1"/>
      <c r="H4" s="1"/>
      <c r="I4" s="1"/>
      <c r="J4" s="1"/>
      <c r="K4" s="1"/>
      <c r="L4" s="1"/>
      <c r="M4" s="1"/>
    </row>
    <row r="5" spans="1:13" ht="28.2" customHeight="1" x14ac:dyDescent="0.3">
      <c r="A5" s="9"/>
      <c r="B5" s="25" t="s">
        <v>0</v>
      </c>
      <c r="C5" s="25" t="s">
        <v>1</v>
      </c>
      <c r="D5" s="25" t="s">
        <v>11</v>
      </c>
      <c r="E5" s="25" t="s">
        <v>12</v>
      </c>
      <c r="F5" s="25" t="s">
        <v>13</v>
      </c>
      <c r="G5" s="25" t="s">
        <v>14</v>
      </c>
      <c r="H5" s="10" t="s">
        <v>28</v>
      </c>
      <c r="I5" s="10" t="s">
        <v>29</v>
      </c>
      <c r="J5" s="10" t="s">
        <v>34</v>
      </c>
      <c r="K5" s="10" t="s">
        <v>30</v>
      </c>
      <c r="L5" s="10" t="s">
        <v>31</v>
      </c>
      <c r="M5" s="10" t="s">
        <v>35</v>
      </c>
    </row>
    <row r="6" spans="1:13" x14ac:dyDescent="0.3">
      <c r="A6" s="11" t="s">
        <v>5</v>
      </c>
      <c r="B6" s="12">
        <v>65</v>
      </c>
      <c r="C6" s="12">
        <v>65</v>
      </c>
      <c r="D6" s="12">
        <v>98</v>
      </c>
      <c r="E6" s="12">
        <v>92</v>
      </c>
      <c r="F6" s="12">
        <v>21</v>
      </c>
      <c r="G6" s="12">
        <v>22</v>
      </c>
      <c r="H6" s="36">
        <f>((B6-1)*F6^2+(C6-1)*G6^2)/(B6+C6-2)</f>
        <v>462.5</v>
      </c>
      <c r="I6" s="36">
        <f>H6^0.5</f>
        <v>21.505813167606568</v>
      </c>
      <c r="J6" s="36">
        <f>1-3/(4*(B6+C6)-9)</f>
        <v>0.9941291585127201</v>
      </c>
      <c r="K6" s="36">
        <f>(D6-E6)/I6</f>
        <v>0.27899433298516624</v>
      </c>
      <c r="L6" s="36">
        <f>(D6-E6)*(1-3/(4*(B6+C6)-9))/I6</f>
        <v>0.27735640148036095</v>
      </c>
      <c r="M6" s="36">
        <f>(D6-E6)/G6</f>
        <v>0.27272727272727271</v>
      </c>
    </row>
    <row r="7" spans="1:13" x14ac:dyDescent="0.3">
      <c r="A7" s="11" t="s">
        <v>6</v>
      </c>
      <c r="B7" s="12">
        <v>200</v>
      </c>
      <c r="C7" s="12">
        <v>200</v>
      </c>
      <c r="D7" s="12">
        <v>94</v>
      </c>
      <c r="E7" s="12">
        <v>82</v>
      </c>
      <c r="F7" s="12">
        <v>19</v>
      </c>
      <c r="G7" s="12">
        <v>17</v>
      </c>
      <c r="H7" s="36">
        <f>((B7-1)*F7^2+(C7-1)*G7^2)/(B7+C7-2)</f>
        <v>325</v>
      </c>
      <c r="I7" s="36">
        <f>H7^0.5</f>
        <v>18.027756377319946</v>
      </c>
      <c r="J7" s="36">
        <f>1-3/(4*(B7+C7)-9)</f>
        <v>0.99811439346323072</v>
      </c>
      <c r="K7" s="36">
        <f>(D7-E7)/I7</f>
        <v>0.66564023547027495</v>
      </c>
      <c r="L7" s="36">
        <f>(D7-E7)*(1-3/(4*(B7+C7)-9))/I7</f>
        <v>0.66438509989113559</v>
      </c>
      <c r="M7" s="36">
        <f>(D7-E7)/G7</f>
        <v>0.70588235294117652</v>
      </c>
    </row>
    <row r="8" spans="1:13" x14ac:dyDescent="0.3">
      <c r="A8" s="11" t="s">
        <v>7</v>
      </c>
      <c r="B8" s="12">
        <v>60</v>
      </c>
      <c r="C8" s="12">
        <v>60</v>
      </c>
      <c r="D8" s="12">
        <v>94</v>
      </c>
      <c r="E8" s="12">
        <v>92</v>
      </c>
      <c r="F8" s="12">
        <v>22</v>
      </c>
      <c r="G8" s="12">
        <v>20</v>
      </c>
      <c r="H8" s="36">
        <f>((B8-1)*F8^2+(C8-1)*G8^2)/(B8+C8-2)</f>
        <v>442</v>
      </c>
      <c r="I8" s="36">
        <f>H8^0.5</f>
        <v>21.023796041628639</v>
      </c>
      <c r="J8" s="36">
        <f>1-3/(4*(B8+C8)-9)</f>
        <v>0.99363057324840764</v>
      </c>
      <c r="K8" s="36">
        <f>(D8-E8)/I8</f>
        <v>9.513029883089881E-2</v>
      </c>
      <c r="L8" s="36">
        <f>(D8-E8)*(1-3/(4*(B8+C8)-9))/I8</f>
        <v>9.4524373360638306E-2</v>
      </c>
      <c r="M8" s="36">
        <f>(D8-E8)/G8</f>
        <v>0.1</v>
      </c>
    </row>
    <row r="9" spans="1:13" x14ac:dyDescent="0.3">
      <c r="A9" s="11" t="s">
        <v>8</v>
      </c>
      <c r="B9" s="12">
        <v>40</v>
      </c>
      <c r="C9" s="12">
        <v>40</v>
      </c>
      <c r="D9" s="12">
        <v>98</v>
      </c>
      <c r="E9" s="12">
        <v>88</v>
      </c>
      <c r="F9" s="12">
        <v>28</v>
      </c>
      <c r="G9" s="12">
        <v>26</v>
      </c>
      <c r="H9" s="36">
        <f t="shared" ref="H9:H11" si="0">((B9-1)*F9^2+(C9-1)*G9^2)/(B9+C9-2)</f>
        <v>730</v>
      </c>
      <c r="I9" s="36">
        <f t="shared" ref="I9:I11" si="1">H9^0.5</f>
        <v>27.018512172212592</v>
      </c>
      <c r="J9" s="36">
        <f t="shared" ref="J9:J11" si="2">1-3/(4*(B9+C9)-9)</f>
        <v>0.99035369774919613</v>
      </c>
      <c r="K9" s="36">
        <f t="shared" ref="K9:K11" si="3">(D9-E9)/I9</f>
        <v>0.37011660509880262</v>
      </c>
      <c r="L9" s="36">
        <f t="shared" ref="L9:L11" si="4">(D9-E9)*(1-3/(4*(B9+C9)-9))/I9</f>
        <v>0.36654634845797818</v>
      </c>
      <c r="M9" s="36">
        <f t="shared" ref="M9:M11" si="5">(D9-E9)/G9</f>
        <v>0.38461538461538464</v>
      </c>
    </row>
    <row r="10" spans="1:13" x14ac:dyDescent="0.3">
      <c r="A10" s="11" t="s">
        <v>9</v>
      </c>
      <c r="B10" s="12">
        <v>50</v>
      </c>
      <c r="C10" s="12">
        <v>45</v>
      </c>
      <c r="D10" s="12">
        <v>98</v>
      </c>
      <c r="E10" s="12">
        <v>88</v>
      </c>
      <c r="F10" s="12">
        <v>21</v>
      </c>
      <c r="G10" s="12">
        <v>22</v>
      </c>
      <c r="H10" s="36">
        <f t="shared" si="0"/>
        <v>461.3440860215054</v>
      </c>
      <c r="I10" s="36">
        <f t="shared" si="1"/>
        <v>21.478921900819543</v>
      </c>
      <c r="J10" s="36">
        <f t="shared" si="2"/>
        <v>0.99191374663072773</v>
      </c>
      <c r="K10" s="36">
        <f t="shared" si="3"/>
        <v>0.46557271571523534</v>
      </c>
      <c r="L10" s="36">
        <f t="shared" si="4"/>
        <v>0.46180797677414176</v>
      </c>
      <c r="M10" s="36">
        <f t="shared" si="5"/>
        <v>0.45454545454545453</v>
      </c>
    </row>
    <row r="11" spans="1:13" x14ac:dyDescent="0.3">
      <c r="A11" s="11" t="s">
        <v>10</v>
      </c>
      <c r="B11" s="12">
        <v>85</v>
      </c>
      <c r="C11" s="12">
        <v>85</v>
      </c>
      <c r="D11" s="12">
        <v>96</v>
      </c>
      <c r="E11" s="12">
        <v>92</v>
      </c>
      <c r="F11" s="12">
        <v>21</v>
      </c>
      <c r="G11" s="12">
        <v>22</v>
      </c>
      <c r="H11" s="36">
        <f t="shared" si="0"/>
        <v>462.5</v>
      </c>
      <c r="I11" s="36">
        <f t="shared" si="1"/>
        <v>21.505813167606568</v>
      </c>
      <c r="J11" s="36">
        <f t="shared" si="2"/>
        <v>0.99552906110283157</v>
      </c>
      <c r="K11" s="36">
        <f t="shared" si="3"/>
        <v>0.18599622199011084</v>
      </c>
      <c r="L11" s="36">
        <f t="shared" si="4"/>
        <v>0.18516464424648887</v>
      </c>
      <c r="M11" s="36">
        <f t="shared" si="5"/>
        <v>0.18181818181818182</v>
      </c>
    </row>
    <row r="12" spans="1:13" ht="14.25" customHeight="1" x14ac:dyDescent="0.3"/>
    <row r="13" spans="1:13" x14ac:dyDescent="0.3">
      <c r="A13" s="40" t="s">
        <v>53</v>
      </c>
      <c r="B13" s="1"/>
      <c r="C13" s="1"/>
      <c r="D13" s="1"/>
      <c r="E13" s="1"/>
      <c r="G13" s="1"/>
      <c r="H13" s="1"/>
      <c r="I13" s="1"/>
      <c r="J13" s="44" t="s">
        <v>24</v>
      </c>
      <c r="K13" s="44"/>
      <c r="L13" s="21"/>
    </row>
    <row r="14" spans="1:13" ht="44.4" customHeight="1" x14ac:dyDescent="0.3">
      <c r="A14" s="2"/>
      <c r="B14" s="3" t="s">
        <v>0</v>
      </c>
      <c r="C14" s="3" t="s">
        <v>1</v>
      </c>
      <c r="D14" s="3" t="s">
        <v>2</v>
      </c>
      <c r="E14" s="20" t="s">
        <v>3</v>
      </c>
      <c r="F14" s="20" t="s">
        <v>36</v>
      </c>
      <c r="G14" s="20" t="s">
        <v>60</v>
      </c>
      <c r="H14" s="20" t="s">
        <v>37</v>
      </c>
      <c r="I14" s="20" t="s">
        <v>56</v>
      </c>
      <c r="J14" s="20" t="s">
        <v>57</v>
      </c>
      <c r="K14" s="20" t="s">
        <v>58</v>
      </c>
    </row>
    <row r="15" spans="1:13" x14ac:dyDescent="0.3">
      <c r="A15" s="4" t="s">
        <v>5</v>
      </c>
      <c r="B15" s="5">
        <v>65</v>
      </c>
      <c r="C15" s="5">
        <v>65</v>
      </c>
      <c r="D15" s="8">
        <v>0.27735640148036095</v>
      </c>
      <c r="E15" s="18">
        <f>(1-3/(4*(C15+B15)-9))</f>
        <v>0.9941291585127201</v>
      </c>
      <c r="F15" s="18">
        <f>E15^2*(1/B15+1/C15)+D15^2*(1/(2*(B15+C15)))</f>
        <v>3.0704880168783876E-2</v>
      </c>
      <c r="G15" s="18">
        <f>F15^0.5</f>
        <v>0.17522808042315557</v>
      </c>
      <c r="H15" s="18">
        <f t="shared" ref="H15:H20" si="6">D15/G15</f>
        <v>1.5828307929332861</v>
      </c>
      <c r="I15" s="18">
        <f>IF(H15&lt;0,2*_xlfn.NORM.S.DIST(H15,TRUE),2*(1-_xlfn.NORM.S.DIST(H15,TRUE)))</f>
        <v>0.11346003618352385</v>
      </c>
      <c r="J15" s="18">
        <f t="shared" ref="J15:J20" si="7">D15-1.96*G15</f>
        <v>-6.6090636149023996E-2</v>
      </c>
      <c r="K15" s="18">
        <f t="shared" ref="K15:K20" si="8">D15+1.96*G15</f>
        <v>0.62080343910974589</v>
      </c>
    </row>
    <row r="16" spans="1:13" x14ac:dyDescent="0.3">
      <c r="A16" s="4" t="s">
        <v>6</v>
      </c>
      <c r="B16" s="5">
        <v>200</v>
      </c>
      <c r="C16" s="5">
        <v>200</v>
      </c>
      <c r="D16" s="8">
        <v>0.66438509989113559</v>
      </c>
      <c r="E16" s="18">
        <f>(1-3/(4*(C16+B16)-9))</f>
        <v>0.99811439346323072</v>
      </c>
      <c r="F16" s="18">
        <f>E16^2*(1/B16+1/C16+D16^2*(1/(2*(B16+C16))))</f>
        <v>1.0512004034912977E-2</v>
      </c>
      <c r="G16" s="18">
        <f>F16^0.5</f>
        <v>0.10252806462092698</v>
      </c>
      <c r="H16" s="18">
        <f t="shared" si="6"/>
        <v>6.480031612296016</v>
      </c>
      <c r="I16" s="18">
        <f>IF(H16&lt;0,2*_xlfn.NORM.S.DIST(H16,TRUE),2*(1-_xlfn.NORM.S.DIST(H16,TRUE)))</f>
        <v>9.1703311611013305E-11</v>
      </c>
      <c r="J16" s="18">
        <f t="shared" si="7"/>
        <v>0.46343009323411871</v>
      </c>
      <c r="K16" s="18">
        <f t="shared" si="8"/>
        <v>0.86534010654815252</v>
      </c>
    </row>
    <row r="17" spans="1:11" x14ac:dyDescent="0.3">
      <c r="A17" s="4" t="s">
        <v>7</v>
      </c>
      <c r="B17" s="5">
        <v>60</v>
      </c>
      <c r="C17" s="5">
        <v>60</v>
      </c>
      <c r="D17" s="6">
        <v>9.4524373360638306E-2</v>
      </c>
      <c r="E17" s="18">
        <f>(1-3/(4*(C17+B17)-9))</f>
        <v>0.99363057324840764</v>
      </c>
      <c r="F17" s="18">
        <f>E17^2*(1/B17+1/C17+D17^2*(1/(2*(B17+C17))))</f>
        <v>3.2946813035658447E-2</v>
      </c>
      <c r="G17" s="18">
        <f>F17^0.5</f>
        <v>0.18151256991089748</v>
      </c>
      <c r="H17" s="18">
        <f t="shared" si="6"/>
        <v>0.5207593799539022</v>
      </c>
      <c r="I17" s="18">
        <f>IF(H17&lt;0,2*_xlfn.NORM.S.DIST(H17,TRUE),2*(1-_xlfn.NORM.S.DIST(H17,TRUE)))</f>
        <v>0.60253440317418616</v>
      </c>
      <c r="J17" s="18">
        <f t="shared" si="7"/>
        <v>-0.26124026366472075</v>
      </c>
      <c r="K17" s="18">
        <f t="shared" si="8"/>
        <v>0.45028901038599733</v>
      </c>
    </row>
    <row r="18" spans="1:11" x14ac:dyDescent="0.3">
      <c r="A18" s="4" t="s">
        <v>8</v>
      </c>
      <c r="B18" s="5">
        <v>40</v>
      </c>
      <c r="C18" s="5">
        <v>40</v>
      </c>
      <c r="D18" s="8">
        <v>0.36654634845797818</v>
      </c>
      <c r="E18" s="18">
        <f t="shared" ref="E18:E20" si="9">(1-3/(4*(C18+B18)-9))</f>
        <v>0.99035369774919613</v>
      </c>
      <c r="F18" s="18">
        <f t="shared" ref="F18:F20" si="10">E18^2*(1/B18+1/C18+D18^2*(1/(2*(B18+C18))))</f>
        <v>4.986362637006643E-2</v>
      </c>
      <c r="G18" s="18">
        <f t="shared" ref="G18:G20" si="11">F18^0.5</f>
        <v>0.22330164882970843</v>
      </c>
      <c r="H18" s="18">
        <f t="shared" si="6"/>
        <v>1.6414851855281609</v>
      </c>
      <c r="I18" s="18">
        <f t="shared" ref="I18:I20" si="12">IF(H18&lt;0,2*_xlfn.NORM.S.DIST(H18,TRUE),2*(1-_xlfn.NORM.S.DIST(H18,TRUE)))</f>
        <v>0.10069673980425309</v>
      </c>
      <c r="J18" s="18">
        <f t="shared" si="7"/>
        <v>-7.1124883248250337E-2</v>
      </c>
      <c r="K18" s="18">
        <f t="shared" si="8"/>
        <v>0.80421758016420664</v>
      </c>
    </row>
    <row r="19" spans="1:11" x14ac:dyDescent="0.3">
      <c r="A19" s="4" t="s">
        <v>9</v>
      </c>
      <c r="B19" s="5">
        <v>50</v>
      </c>
      <c r="C19" s="5">
        <v>45</v>
      </c>
      <c r="D19" s="8">
        <v>0.46180797677414176</v>
      </c>
      <c r="E19" s="18">
        <f t="shared" si="9"/>
        <v>0.99191374663072773</v>
      </c>
      <c r="F19" s="18">
        <f t="shared" si="10"/>
        <v>4.2646520152709068E-2</v>
      </c>
      <c r="G19" s="18">
        <f t="shared" si="11"/>
        <v>0.20651033909397629</v>
      </c>
      <c r="H19" s="18">
        <f t="shared" si="6"/>
        <v>2.236246276095589</v>
      </c>
      <c r="I19" s="18">
        <f t="shared" si="12"/>
        <v>2.5335643453883172E-2</v>
      </c>
      <c r="J19" s="18">
        <f t="shared" si="7"/>
        <v>5.7047712149948249E-2</v>
      </c>
      <c r="K19" s="18">
        <f t="shared" si="8"/>
        <v>0.86656824139833533</v>
      </c>
    </row>
    <row r="20" spans="1:11" x14ac:dyDescent="0.3">
      <c r="A20" s="4" t="s">
        <v>10</v>
      </c>
      <c r="B20" s="5">
        <v>85</v>
      </c>
      <c r="C20" s="5">
        <v>85</v>
      </c>
      <c r="D20" s="8">
        <v>0.18516464424648887</v>
      </c>
      <c r="E20" s="18">
        <f t="shared" si="9"/>
        <v>0.99552906110283157</v>
      </c>
      <c r="F20" s="18">
        <f t="shared" si="10"/>
        <v>2.3419426300289828E-2</v>
      </c>
      <c r="G20" s="18">
        <f t="shared" si="11"/>
        <v>0.15303406908361886</v>
      </c>
      <c r="H20" s="18">
        <f t="shared" si="6"/>
        <v>1.2099570073204657</v>
      </c>
      <c r="I20" s="18">
        <f t="shared" si="12"/>
        <v>0.22629539048135161</v>
      </c>
      <c r="J20" s="18">
        <f t="shared" si="7"/>
        <v>-0.1147821311574041</v>
      </c>
      <c r="K20" s="18">
        <f t="shared" si="8"/>
        <v>0.48511141965038185</v>
      </c>
    </row>
    <row r="21" spans="1:11" x14ac:dyDescent="0.3">
      <c r="B21" s="1"/>
      <c r="C21" s="1"/>
      <c r="D21" s="41"/>
      <c r="E21" s="42"/>
      <c r="F21" s="42"/>
      <c r="G21" s="42"/>
      <c r="H21" s="42"/>
      <c r="I21" s="42"/>
      <c r="J21" s="42"/>
      <c r="K21" s="42"/>
    </row>
    <row r="22" spans="1:11" x14ac:dyDescent="0.3">
      <c r="A22" s="21" t="s">
        <v>52</v>
      </c>
    </row>
    <row r="23" spans="1:11" x14ac:dyDescent="0.3">
      <c r="A23" s="14"/>
      <c r="B23" s="15" t="s">
        <v>2</v>
      </c>
      <c r="D23" s="15" t="s">
        <v>15</v>
      </c>
    </row>
    <row r="24" spans="1:11" x14ac:dyDescent="0.3">
      <c r="A24" s="13" t="s">
        <v>5</v>
      </c>
      <c r="B24" s="37">
        <f t="shared" ref="B24:B29" si="13">D15</f>
        <v>0.27735640148036095</v>
      </c>
      <c r="C24" s="13">
        <v>6</v>
      </c>
      <c r="D24" s="37">
        <f t="shared" ref="D24:D29" si="14">1.96*G15</f>
        <v>0.34344703762938494</v>
      </c>
    </row>
    <row r="25" spans="1:11" x14ac:dyDescent="0.3">
      <c r="A25" s="13" t="s">
        <v>6</v>
      </c>
      <c r="B25" s="37">
        <f t="shared" si="13"/>
        <v>0.66438509989113559</v>
      </c>
      <c r="C25" s="13">
        <v>5</v>
      </c>
      <c r="D25" s="37">
        <f t="shared" si="14"/>
        <v>0.20095500665701688</v>
      </c>
    </row>
    <row r="26" spans="1:11" x14ac:dyDescent="0.3">
      <c r="A26" s="13" t="s">
        <v>7</v>
      </c>
      <c r="B26" s="37">
        <f t="shared" si="13"/>
        <v>9.4524373360638306E-2</v>
      </c>
      <c r="C26" s="13">
        <v>4</v>
      </c>
      <c r="D26" s="37">
        <f t="shared" si="14"/>
        <v>0.35576463702535904</v>
      </c>
    </row>
    <row r="27" spans="1:11" x14ac:dyDescent="0.3">
      <c r="A27" s="13" t="s">
        <v>8</v>
      </c>
      <c r="B27" s="37">
        <f t="shared" si="13"/>
        <v>0.36654634845797818</v>
      </c>
      <c r="C27" s="13">
        <v>3</v>
      </c>
      <c r="D27" s="37">
        <f t="shared" si="14"/>
        <v>0.43767123170622851</v>
      </c>
    </row>
    <row r="28" spans="1:11" x14ac:dyDescent="0.3">
      <c r="A28" s="13" t="s">
        <v>9</v>
      </c>
      <c r="B28" s="37">
        <f t="shared" si="13"/>
        <v>0.46180797677414176</v>
      </c>
      <c r="C28" s="13">
        <v>2</v>
      </c>
      <c r="D28" s="37">
        <f t="shared" si="14"/>
        <v>0.40476026462419351</v>
      </c>
    </row>
    <row r="29" spans="1:11" x14ac:dyDescent="0.3">
      <c r="A29" s="13" t="s">
        <v>10</v>
      </c>
      <c r="B29" s="37">
        <f t="shared" si="13"/>
        <v>0.18516464424648887</v>
      </c>
      <c r="C29" s="13">
        <v>1</v>
      </c>
      <c r="D29" s="37">
        <f t="shared" si="14"/>
        <v>0.29994677540389297</v>
      </c>
    </row>
    <row r="31" spans="1:11" x14ac:dyDescent="0.3">
      <c r="A31" s="43" t="s">
        <v>51</v>
      </c>
    </row>
    <row r="32" spans="1:11" x14ac:dyDescent="0.3">
      <c r="A32" s="2"/>
      <c r="B32" s="3" t="s">
        <v>2</v>
      </c>
      <c r="C32" s="17" t="s">
        <v>27</v>
      </c>
      <c r="D32" s="14" t="s">
        <v>26</v>
      </c>
    </row>
    <row r="33" spans="1:4" x14ac:dyDescent="0.3">
      <c r="A33" s="4" t="s">
        <v>5</v>
      </c>
      <c r="B33" s="38">
        <v>0.27735640148036095</v>
      </c>
      <c r="C33" s="30">
        <f>_xlfn.NORM.S.DIST(B33,TRUE)*100</f>
        <v>60.924677229632543</v>
      </c>
      <c r="D33" s="29">
        <f>C33-50</f>
        <v>10.924677229632543</v>
      </c>
    </row>
    <row r="34" spans="1:4" x14ac:dyDescent="0.3">
      <c r="A34" s="4" t="s">
        <v>6</v>
      </c>
      <c r="B34" s="38">
        <v>0.66438509989113559</v>
      </c>
      <c r="C34" s="30">
        <f t="shared" ref="C34:C38" si="15">_xlfn.NORM.S.DIST(B34,TRUE)*100</f>
        <v>74.67780665485499</v>
      </c>
      <c r="D34" s="29">
        <f t="shared" ref="D34:D38" si="16">C34-50</f>
        <v>24.67780665485499</v>
      </c>
    </row>
    <row r="35" spans="1:4" x14ac:dyDescent="0.3">
      <c r="A35" s="4" t="s">
        <v>7</v>
      </c>
      <c r="B35" s="38">
        <v>9.4524373360638306E-2</v>
      </c>
      <c r="C35" s="30">
        <f t="shared" si="15"/>
        <v>53.765368900952822</v>
      </c>
      <c r="D35" s="29">
        <f t="shared" si="16"/>
        <v>3.7653689009528222</v>
      </c>
    </row>
    <row r="36" spans="1:4" x14ac:dyDescent="0.3">
      <c r="A36" s="4" t="s">
        <v>8</v>
      </c>
      <c r="B36" s="38">
        <v>0.36654634845797818</v>
      </c>
      <c r="C36" s="30">
        <f t="shared" si="15"/>
        <v>64.302128285806077</v>
      </c>
      <c r="D36" s="29">
        <f t="shared" si="16"/>
        <v>14.302128285806077</v>
      </c>
    </row>
    <row r="37" spans="1:4" x14ac:dyDescent="0.3">
      <c r="A37" s="4" t="s">
        <v>9</v>
      </c>
      <c r="B37" s="38">
        <v>0.46180797677414176</v>
      </c>
      <c r="C37" s="30">
        <f t="shared" si="15"/>
        <v>67.789048496112727</v>
      </c>
      <c r="D37" s="29">
        <f t="shared" si="16"/>
        <v>17.789048496112727</v>
      </c>
    </row>
    <row r="38" spans="1:4" x14ac:dyDescent="0.3">
      <c r="A38" s="4" t="s">
        <v>10</v>
      </c>
      <c r="B38" s="38">
        <v>0.18516464424648887</v>
      </c>
      <c r="C38" s="30">
        <f t="shared" si="15"/>
        <v>57.34500503337955</v>
      </c>
      <c r="D38" s="29">
        <f t="shared" si="16"/>
        <v>7.3450050333795502</v>
      </c>
    </row>
  </sheetData>
  <mergeCells count="1">
    <mergeCell ref="J13:K13"/>
  </mergeCells>
  <conditionalFormatting sqref="I15:I21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491E-9554-44E8-937C-6BD5E2C20393}">
  <dimension ref="A1:L35"/>
  <sheetViews>
    <sheetView tabSelected="1" zoomScale="80" zoomScaleNormal="80" workbookViewId="0">
      <selection activeCell="K32" sqref="K32"/>
    </sheetView>
  </sheetViews>
  <sheetFormatPr baseColWidth="10" defaultRowHeight="14.4" x14ac:dyDescent="0.3"/>
  <cols>
    <col min="1" max="1" width="6.109375" customWidth="1"/>
    <col min="2" max="2" width="12.77734375" style="1" customWidth="1"/>
    <col min="3" max="3" width="15" style="1" customWidth="1"/>
    <col min="4" max="4" width="10.33203125" style="1" customWidth="1"/>
    <col min="5" max="5" width="10.44140625" style="1" customWidth="1"/>
    <col min="6" max="6" width="12" style="1" customWidth="1"/>
    <col min="7" max="7" width="15.88671875" customWidth="1"/>
    <col min="8" max="8" width="17.77734375" style="1" customWidth="1"/>
    <col min="9" max="9" width="13.5546875" style="1" customWidth="1"/>
    <col min="10" max="10" width="10.109375" style="1" customWidth="1"/>
    <col min="11" max="11" width="10.44140625" customWidth="1"/>
    <col min="12" max="12" width="11.5546875" customWidth="1"/>
    <col min="13" max="13" width="3.6640625" customWidth="1"/>
    <col min="14" max="14" width="6.6640625" customWidth="1"/>
    <col min="15" max="15" width="2.5546875" customWidth="1"/>
    <col min="16" max="16" width="7.109375" customWidth="1"/>
  </cols>
  <sheetData>
    <row r="1" spans="1:10" ht="18" x14ac:dyDescent="0.35">
      <c r="A1" s="39" t="s">
        <v>25</v>
      </c>
      <c r="C1" s="26"/>
    </row>
    <row r="2" spans="1:10" x14ac:dyDescent="0.3">
      <c r="A2" t="s">
        <v>17</v>
      </c>
      <c r="C2"/>
    </row>
    <row r="3" spans="1:10" x14ac:dyDescent="0.3">
      <c r="C3"/>
    </row>
    <row r="4" spans="1:10" s="31" customFormat="1" ht="30.6" customHeight="1" x14ac:dyDescent="0.3">
      <c r="A4" s="9"/>
      <c r="B4" s="20" t="s">
        <v>0</v>
      </c>
      <c r="C4" s="20" t="s">
        <v>1</v>
      </c>
      <c r="D4" s="20" t="s">
        <v>2</v>
      </c>
      <c r="E4" s="20" t="s">
        <v>23</v>
      </c>
      <c r="F4" s="20" t="s">
        <v>4</v>
      </c>
      <c r="G4" s="20" t="s">
        <v>32</v>
      </c>
      <c r="H4" s="20" t="s">
        <v>38</v>
      </c>
      <c r="I4" s="20" t="s">
        <v>43</v>
      </c>
      <c r="J4" s="20" t="s">
        <v>44</v>
      </c>
    </row>
    <row r="5" spans="1:10" s="16" customFormat="1" x14ac:dyDescent="0.3">
      <c r="A5" s="17" t="s">
        <v>5</v>
      </c>
      <c r="B5" s="17">
        <v>65</v>
      </c>
      <c r="C5" s="17">
        <v>65</v>
      </c>
      <c r="D5" s="18">
        <v>0.27735640148036095</v>
      </c>
      <c r="E5" s="28">
        <f>D5^2</f>
        <v>7.6926573442135174E-2</v>
      </c>
      <c r="F5" s="18">
        <v>3.0704880168783876E-2</v>
      </c>
      <c r="G5" s="27">
        <f>F5^0.5</f>
        <v>0.17522808042315557</v>
      </c>
      <c r="H5" s="18">
        <f>1/F5</f>
        <v>32.568112772400596</v>
      </c>
      <c r="I5" s="18">
        <f>F5+$E$18</f>
        <v>6.801785610292238E-2</v>
      </c>
      <c r="J5" s="18">
        <f>1/I5</f>
        <v>14.702021752741411</v>
      </c>
    </row>
    <row r="6" spans="1:10" x14ac:dyDescent="0.3">
      <c r="A6" s="17" t="s">
        <v>6</v>
      </c>
      <c r="B6" s="17">
        <v>200</v>
      </c>
      <c r="C6" s="17">
        <v>200</v>
      </c>
      <c r="D6" s="18">
        <v>0.66438509989113559</v>
      </c>
      <c r="E6" s="28">
        <f t="shared" ref="E6:E10" si="0">D6^2</f>
        <v>0.44140756095735423</v>
      </c>
      <c r="F6" s="18">
        <v>1.0512004034912977E-2</v>
      </c>
      <c r="G6" s="27">
        <f t="shared" ref="G6:G10" si="1">F6^0.5</f>
        <v>0.10252806462092698</v>
      </c>
      <c r="H6" s="18">
        <f t="shared" ref="H6:H10" si="2">1/F6</f>
        <v>95.129339436966688</v>
      </c>
      <c r="I6" s="18">
        <f t="shared" ref="I6:I10" si="3">F6+$E$18</f>
        <v>4.7824979969051482E-2</v>
      </c>
      <c r="J6" s="18">
        <f t="shared" ref="J6:J10" si="4">1/I6</f>
        <v>20.909574884236655</v>
      </c>
    </row>
    <row r="7" spans="1:10" x14ac:dyDescent="0.3">
      <c r="A7" s="17" t="s">
        <v>7</v>
      </c>
      <c r="B7" s="17">
        <v>60</v>
      </c>
      <c r="C7" s="17">
        <v>60</v>
      </c>
      <c r="D7" s="18">
        <v>9.4524373360638306E-2</v>
      </c>
      <c r="E7" s="28">
        <f t="shared" si="0"/>
        <v>8.9348571592213488E-3</v>
      </c>
      <c r="F7" s="18">
        <v>3.2946813035658447E-2</v>
      </c>
      <c r="G7" s="27">
        <f t="shared" si="1"/>
        <v>0.18151256991089748</v>
      </c>
      <c r="H7" s="18">
        <f t="shared" si="2"/>
        <v>30.351949334756494</v>
      </c>
      <c r="I7" s="18">
        <f t="shared" si="3"/>
        <v>7.0259788969796955E-2</v>
      </c>
      <c r="J7" s="18">
        <f t="shared" si="4"/>
        <v>14.232892165814455</v>
      </c>
    </row>
    <row r="8" spans="1:10" x14ac:dyDescent="0.3">
      <c r="A8" s="17" t="s">
        <v>8</v>
      </c>
      <c r="B8" s="17">
        <v>40</v>
      </c>
      <c r="C8" s="17">
        <v>40</v>
      </c>
      <c r="D8" s="18">
        <v>0.36654634845797818</v>
      </c>
      <c r="E8" s="28">
        <f t="shared" si="0"/>
        <v>0.13435622556787757</v>
      </c>
      <c r="F8" s="18">
        <v>4.986362637006643E-2</v>
      </c>
      <c r="G8" s="27">
        <f t="shared" si="1"/>
        <v>0.22330164882970843</v>
      </c>
      <c r="H8" s="18">
        <f t="shared" si="2"/>
        <v>20.054698641017989</v>
      </c>
      <c r="I8" s="18">
        <f t="shared" si="3"/>
        <v>8.7176602304204931E-2</v>
      </c>
      <c r="J8" s="18">
        <f t="shared" si="4"/>
        <v>11.47096782357352</v>
      </c>
    </row>
    <row r="9" spans="1:10" x14ac:dyDescent="0.3">
      <c r="A9" s="17" t="s">
        <v>9</v>
      </c>
      <c r="B9" s="17">
        <v>50</v>
      </c>
      <c r="C9" s="17">
        <v>45</v>
      </c>
      <c r="D9" s="18">
        <v>0.46180797677414176</v>
      </c>
      <c r="E9" s="28">
        <f t="shared" si="0"/>
        <v>0.21326660741222625</v>
      </c>
      <c r="F9" s="18">
        <v>4.2646520152709068E-2</v>
      </c>
      <c r="G9" s="27">
        <f t="shared" si="1"/>
        <v>0.20651033909397629</v>
      </c>
      <c r="H9" s="18">
        <f t="shared" si="2"/>
        <v>23.44857203868429</v>
      </c>
      <c r="I9" s="18">
        <f t="shared" si="3"/>
        <v>7.9959496086847576E-2</v>
      </c>
      <c r="J9" s="18">
        <f t="shared" si="4"/>
        <v>12.506331942285572</v>
      </c>
    </row>
    <row r="10" spans="1:10" x14ac:dyDescent="0.3">
      <c r="A10" s="17" t="s">
        <v>10</v>
      </c>
      <c r="B10" s="17">
        <v>85</v>
      </c>
      <c r="C10" s="17">
        <v>85</v>
      </c>
      <c r="D10" s="18">
        <v>0.18516464424648887</v>
      </c>
      <c r="E10" s="28">
        <f t="shared" si="0"/>
        <v>3.4285945478928784E-2</v>
      </c>
      <c r="F10" s="18">
        <v>2.3419426300289828E-2</v>
      </c>
      <c r="G10" s="27">
        <f t="shared" si="1"/>
        <v>0.15303406908361886</v>
      </c>
      <c r="H10" s="18">
        <f t="shared" si="2"/>
        <v>42.699594224800649</v>
      </c>
      <c r="I10" s="18">
        <f t="shared" si="3"/>
        <v>6.0732402234428336E-2</v>
      </c>
      <c r="J10" s="18">
        <f t="shared" si="4"/>
        <v>16.465675046739946</v>
      </c>
    </row>
    <row r="11" spans="1:10" ht="15.6" x14ac:dyDescent="0.3">
      <c r="G11" s="24"/>
      <c r="H11"/>
      <c r="J11" s="23"/>
    </row>
    <row r="12" spans="1:10" x14ac:dyDescent="0.3">
      <c r="A12" s="21" t="s">
        <v>19</v>
      </c>
    </row>
    <row r="13" spans="1:10" s="16" customFormat="1" ht="27.6" customHeight="1" x14ac:dyDescent="0.3">
      <c r="A13" s="20" t="s">
        <v>39</v>
      </c>
      <c r="B13" s="20" t="s">
        <v>41</v>
      </c>
      <c r="C13" s="20" t="s">
        <v>55</v>
      </c>
      <c r="D13" s="20" t="s">
        <v>42</v>
      </c>
      <c r="E13" s="20" t="s">
        <v>56</v>
      </c>
      <c r="F13" s="20" t="s">
        <v>57</v>
      </c>
      <c r="G13" s="20" t="s">
        <v>58</v>
      </c>
      <c r="H13" s="19"/>
      <c r="I13" s="19"/>
      <c r="J13" s="19"/>
    </row>
    <row r="14" spans="1:10" x14ac:dyDescent="0.3">
      <c r="A14" s="7">
        <f>SUMPRODUCT(H5:H10,D5:D10)/SUM(H5:H10)</f>
        <v>0.41428749075789617</v>
      </c>
      <c r="B14" s="18">
        <f>1/SUM(H5:H10)</f>
        <v>4.0941278234170606E-3</v>
      </c>
      <c r="C14" s="18">
        <f>B14^0.5</f>
        <v>6.3985371948727943E-2</v>
      </c>
      <c r="D14" s="18">
        <f>A14/C14</f>
        <v>6.4747219269096146</v>
      </c>
      <c r="E14" s="18">
        <f>2*(1-_xlfn.NORM.S.DIST(D14,TRUE))</f>
        <v>9.4986685184039743E-11</v>
      </c>
      <c r="F14" s="18">
        <f>A14-1.96*C14</f>
        <v>0.28887616173838937</v>
      </c>
      <c r="G14" s="18">
        <f>A14+1.96*C14</f>
        <v>0.53969881977740297</v>
      </c>
    </row>
    <row r="16" spans="1:10" x14ac:dyDescent="0.3">
      <c r="A16" s="21" t="s">
        <v>20</v>
      </c>
    </row>
    <row r="17" spans="1:12" s="16" customFormat="1" ht="31.8" customHeight="1" x14ac:dyDescent="0.3">
      <c r="A17" s="20" t="s">
        <v>21</v>
      </c>
      <c r="B17" s="20" t="s">
        <v>22</v>
      </c>
      <c r="C17" s="20" t="s">
        <v>48</v>
      </c>
      <c r="D17" s="20" t="s">
        <v>49</v>
      </c>
      <c r="E17" s="20" t="s">
        <v>47</v>
      </c>
      <c r="F17" s="20" t="s">
        <v>45</v>
      </c>
      <c r="G17" s="20" t="s">
        <v>46</v>
      </c>
      <c r="H17" s="20" t="s">
        <v>59</v>
      </c>
      <c r="I17" s="20" t="s">
        <v>40</v>
      </c>
      <c r="J17" s="20" t="s">
        <v>56</v>
      </c>
      <c r="K17" s="20" t="s">
        <v>57</v>
      </c>
      <c r="L17" s="20" t="s">
        <v>58</v>
      </c>
    </row>
    <row r="18" spans="1:12" x14ac:dyDescent="0.3">
      <c r="A18" s="17">
        <f>COUNT(B5:B10)</f>
        <v>6</v>
      </c>
      <c r="B18" s="17">
        <f>A18-1</f>
        <v>5</v>
      </c>
      <c r="C18" s="18">
        <f>SUMPRODUCT(E5:E10,H5:H10)-SUMPRODUCT(D5:D10,H5:H10)^2/SUM(H5:H10)</f>
        <v>12.004596297643076</v>
      </c>
      <c r="D18" s="18">
        <f>SUM(H5:H10)-SUMPRODUCT(H5:H10,H5:H10)/SUM(H5:H10)</f>
        <v>187.72547946877665</v>
      </c>
      <c r="E18" s="18">
        <f>(C18-B18)/D18</f>
        <v>3.7312975934138508E-2</v>
      </c>
      <c r="F18" s="18">
        <f>SUMPRODUCT(D5:D10,J5:J10)/SUM(J5:J10)</f>
        <v>0.35823457483848181</v>
      </c>
      <c r="G18" s="18">
        <f>1/SUM(J5:J10)</f>
        <v>1.1075734769334324E-2</v>
      </c>
      <c r="H18" s="18">
        <f>G18^0.5</f>
        <v>0.10524131683580515</v>
      </c>
      <c r="I18" s="18">
        <f>F18/H18</f>
        <v>3.4039347435892537</v>
      </c>
      <c r="J18" s="18">
        <f>2*(1-_xlfn.NORM.S.DIST(I18,TRUE))</f>
        <v>6.6422619829875629E-4</v>
      </c>
      <c r="K18" s="18">
        <f>F18-1.96*H18</f>
        <v>0.15196159384030372</v>
      </c>
      <c r="L18" s="18">
        <f>F18+1.96*H18</f>
        <v>0.5645075558366599</v>
      </c>
    </row>
    <row r="21" spans="1:12" x14ac:dyDescent="0.3">
      <c r="A21" s="21" t="s">
        <v>52</v>
      </c>
    </row>
    <row r="22" spans="1:12" x14ac:dyDescent="0.3">
      <c r="A22" s="32" t="s">
        <v>5</v>
      </c>
      <c r="B22" s="33">
        <v>0.27735640148036095</v>
      </c>
      <c r="C22" s="9">
        <v>8</v>
      </c>
      <c r="D22" s="33">
        <f t="shared" ref="D22:D27" si="5">1.96*F5^0.5</f>
        <v>0.34344703762938494</v>
      </c>
    </row>
    <row r="23" spans="1:12" x14ac:dyDescent="0.3">
      <c r="A23" s="4" t="s">
        <v>6</v>
      </c>
      <c r="B23" s="7">
        <v>0.66438509989113559</v>
      </c>
      <c r="C23" s="4">
        <v>7</v>
      </c>
      <c r="D23" s="22">
        <f t="shared" si="5"/>
        <v>0.20095500665701688</v>
      </c>
    </row>
    <row r="24" spans="1:12" x14ac:dyDescent="0.3">
      <c r="A24" s="4" t="s">
        <v>7</v>
      </c>
      <c r="B24" s="7">
        <v>9.4524373360638306E-2</v>
      </c>
      <c r="C24" s="4">
        <v>6</v>
      </c>
      <c r="D24" s="22">
        <f t="shared" si="5"/>
        <v>0.35576463702535904</v>
      </c>
    </row>
    <row r="25" spans="1:12" x14ac:dyDescent="0.3">
      <c r="A25" s="4" t="s">
        <v>8</v>
      </c>
      <c r="B25" s="7">
        <v>0.36654634845797818</v>
      </c>
      <c r="C25" s="4">
        <v>5</v>
      </c>
      <c r="D25" s="22">
        <f t="shared" si="5"/>
        <v>0.43767123170622851</v>
      </c>
    </row>
    <row r="26" spans="1:12" x14ac:dyDescent="0.3">
      <c r="A26" s="4" t="s">
        <v>9</v>
      </c>
      <c r="B26" s="7">
        <v>0.46180797677414176</v>
      </c>
      <c r="C26" s="4">
        <v>4</v>
      </c>
      <c r="D26" s="22">
        <f t="shared" si="5"/>
        <v>0.40476026462419351</v>
      </c>
    </row>
    <row r="27" spans="1:12" x14ac:dyDescent="0.3">
      <c r="A27" s="4" t="s">
        <v>10</v>
      </c>
      <c r="B27" s="7">
        <v>0.18516464424648887</v>
      </c>
      <c r="C27" s="4">
        <v>3</v>
      </c>
      <c r="D27" s="22">
        <f t="shared" si="5"/>
        <v>0.29994677540389297</v>
      </c>
    </row>
    <row r="28" spans="1:12" x14ac:dyDescent="0.3">
      <c r="A28" s="4" t="s">
        <v>16</v>
      </c>
      <c r="B28" s="7">
        <f>A14</f>
        <v>0.41428749075789617</v>
      </c>
      <c r="C28" s="4">
        <v>2</v>
      </c>
      <c r="D28" s="22">
        <f>1.96*C14</f>
        <v>0.12541132901950677</v>
      </c>
    </row>
    <row r="29" spans="1:12" x14ac:dyDescent="0.3">
      <c r="A29" s="4" t="s">
        <v>18</v>
      </c>
      <c r="B29" s="7">
        <f>F18</f>
        <v>0.35823457483848181</v>
      </c>
      <c r="C29" s="4">
        <v>1</v>
      </c>
      <c r="D29" s="22">
        <f>1.96*H18</f>
        <v>0.20627298099817809</v>
      </c>
    </row>
    <row r="32" spans="1:12" x14ac:dyDescent="0.3">
      <c r="A32" s="43" t="s">
        <v>51</v>
      </c>
    </row>
    <row r="33" spans="1:4" x14ac:dyDescent="0.3">
      <c r="A33" s="2"/>
      <c r="B33" s="34"/>
      <c r="C33" s="17" t="s">
        <v>27</v>
      </c>
      <c r="D33" s="14" t="s">
        <v>26</v>
      </c>
    </row>
    <row r="34" spans="1:4" x14ac:dyDescent="0.3">
      <c r="A34" s="4" t="s">
        <v>16</v>
      </c>
      <c r="B34" s="35">
        <v>0.41</v>
      </c>
      <c r="C34" s="30">
        <f>_xlfn.NORM.S.DIST(B34,TRUE)*100</f>
        <v>65.909702622767739</v>
      </c>
      <c r="D34" s="29">
        <f>C34-50</f>
        <v>15.909702622767739</v>
      </c>
    </row>
    <row r="35" spans="1:4" x14ac:dyDescent="0.3">
      <c r="A35" s="4" t="s">
        <v>18</v>
      </c>
      <c r="B35" s="18">
        <v>0.36</v>
      </c>
      <c r="C35" s="30">
        <f>_xlfn.NORM.S.DIST(B35,TRUE)*100</f>
        <v>64.057643321799134</v>
      </c>
      <c r="D35" s="29">
        <f>C35-50</f>
        <v>14.057643321799134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Etudes primaires</vt:lpstr>
      <vt:lpstr>Méta-analyse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roques</dc:creator>
  <cp:lastModifiedBy>nathalie roques</cp:lastModifiedBy>
  <dcterms:created xsi:type="dcterms:W3CDTF">2021-03-07T18:06:22Z</dcterms:created>
  <dcterms:modified xsi:type="dcterms:W3CDTF">2023-07-26T09:38:22Z</dcterms:modified>
</cp:coreProperties>
</file>