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\OneDrive\Documents\Educ Nat\textes persos\statistiques\Excel\Exemples\Exemples internet\"/>
    </mc:Choice>
  </mc:AlternateContent>
  <xr:revisionPtr revIDLastSave="0" documentId="13_ncr:1_{2F72CD20-DEDE-4BF7-9F16-BD785BC805B1}" xr6:coauthVersionLast="47" xr6:coauthVersionMax="47" xr10:uidLastSave="{00000000-0000-0000-0000-000000000000}"/>
  <bookViews>
    <workbookView xWindow="-120" yWindow="-120" windowWidth="20730" windowHeight="11160" tabRatio="755" activeTab="1" xr2:uid="{C1873477-AB33-4B88-A153-DC71651471EB}"/>
  </bookViews>
  <sheets>
    <sheet name="Exemple 7" sheetId="9" r:id="rId1"/>
    <sheet name="Chapitre 8" sheetId="8" r:id="rId2"/>
    <sheet name="Chapitre10.1" sheetId="2" r:id="rId3"/>
    <sheet name="Chapitre10.2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8" l="1"/>
  <c r="A18" i="2"/>
  <c r="B18" i="2" s="1"/>
  <c r="E6" i="2"/>
  <c r="E7" i="2"/>
  <c r="E8" i="2"/>
  <c r="E9" i="2"/>
  <c r="E10" i="2"/>
  <c r="E5" i="2"/>
  <c r="H6" i="2"/>
  <c r="H7" i="2"/>
  <c r="H8" i="2"/>
  <c r="H9" i="2"/>
  <c r="H10" i="2"/>
  <c r="H5" i="2"/>
  <c r="D55" i="5"/>
  <c r="D54" i="5"/>
  <c r="B55" i="5"/>
  <c r="B54" i="5"/>
  <c r="B22" i="8"/>
  <c r="B21" i="8"/>
  <c r="P5" i="2"/>
  <c r="E18" i="8"/>
  <c r="F18" i="8" s="1"/>
  <c r="G18" i="8" s="1"/>
  <c r="E17" i="8"/>
  <c r="F17" i="8" s="1"/>
  <c r="E16" i="8"/>
  <c r="F16" i="8" s="1"/>
  <c r="G16" i="8" s="1"/>
  <c r="E15" i="8"/>
  <c r="F15" i="8" s="1"/>
  <c r="E14" i="8"/>
  <c r="F14" i="8" s="1"/>
  <c r="G14" i="8" s="1"/>
  <c r="D22" i="8" s="1"/>
  <c r="E13" i="8"/>
  <c r="F13" i="8" s="1"/>
  <c r="M9" i="8"/>
  <c r="J9" i="8"/>
  <c r="H9" i="8"/>
  <c r="I9" i="8" s="1"/>
  <c r="M8" i="8"/>
  <c r="J8" i="8"/>
  <c r="H8" i="8"/>
  <c r="I8" i="8" s="1"/>
  <c r="M7" i="8"/>
  <c r="J7" i="8"/>
  <c r="H7" i="8"/>
  <c r="I7" i="8" s="1"/>
  <c r="M6" i="8"/>
  <c r="J6" i="8"/>
  <c r="H6" i="8"/>
  <c r="I6" i="8" s="1"/>
  <c r="M5" i="8"/>
  <c r="J5" i="8"/>
  <c r="H5" i="8"/>
  <c r="I5" i="8" s="1"/>
  <c r="M4" i="8"/>
  <c r="J4" i="8"/>
  <c r="H4" i="8"/>
  <c r="I4" i="8" s="1"/>
  <c r="C18" i="5"/>
  <c r="C19" i="5"/>
  <c r="C20" i="5"/>
  <c r="C21" i="5"/>
  <c r="C6" i="5"/>
  <c r="C7" i="5"/>
  <c r="C8" i="5"/>
  <c r="C9" i="5"/>
  <c r="C10" i="5"/>
  <c r="C29" i="5"/>
  <c r="C30" i="5"/>
  <c r="C31" i="5"/>
  <c r="C32" i="5"/>
  <c r="C33" i="5"/>
  <c r="C34" i="5"/>
  <c r="C35" i="5"/>
  <c r="C36" i="5"/>
  <c r="C37" i="5"/>
  <c r="C38" i="5"/>
  <c r="P4" i="2"/>
  <c r="P6" i="2"/>
  <c r="P7" i="2"/>
  <c r="P8" i="2"/>
  <c r="P9" i="2"/>
  <c r="A14" i="2" l="1"/>
  <c r="B14" i="2"/>
  <c r="C14" i="2" s="1"/>
  <c r="P10" i="2" s="1"/>
  <c r="C18" i="2"/>
  <c r="B21" i="2"/>
  <c r="D14" i="2"/>
  <c r="E14" i="2" s="1"/>
  <c r="D18" i="2"/>
  <c r="E18" i="2" s="1"/>
  <c r="G15" i="8"/>
  <c r="G17" i="8"/>
  <c r="H17" i="8" s="1"/>
  <c r="I17" i="8" s="1"/>
  <c r="G13" i="8"/>
  <c r="K4" i="8"/>
  <c r="L4" i="8"/>
  <c r="K6" i="8"/>
  <c r="L6" i="8"/>
  <c r="K8" i="8"/>
  <c r="L8" i="8"/>
  <c r="K14" i="8"/>
  <c r="J14" i="8"/>
  <c r="H14" i="8"/>
  <c r="I14" i="8" s="1"/>
  <c r="K5" i="8"/>
  <c r="L5" i="8"/>
  <c r="K7" i="8"/>
  <c r="L7" i="8"/>
  <c r="K9" i="8"/>
  <c r="L9" i="8"/>
  <c r="J15" i="8"/>
  <c r="H15" i="8"/>
  <c r="I15" i="8" s="1"/>
  <c r="K15" i="8"/>
  <c r="K16" i="8"/>
  <c r="J16" i="8"/>
  <c r="H16" i="8"/>
  <c r="I16" i="8" s="1"/>
  <c r="K18" i="8"/>
  <c r="J18" i="8"/>
  <c r="H18" i="8"/>
  <c r="I18" i="8" s="1"/>
  <c r="N10" i="2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C28" i="5"/>
  <c r="A24" i="5"/>
  <c r="B24" i="5" s="1"/>
  <c r="E21" i="5"/>
  <c r="F21" i="5" s="1"/>
  <c r="E20" i="5"/>
  <c r="F20" i="5" s="1"/>
  <c r="E19" i="5"/>
  <c r="F19" i="5" s="1"/>
  <c r="E18" i="5"/>
  <c r="F18" i="5" s="1"/>
  <c r="E17" i="5"/>
  <c r="C17" i="5"/>
  <c r="A13" i="5"/>
  <c r="B13" i="5" s="1"/>
  <c r="E10" i="5"/>
  <c r="F10" i="5" s="1"/>
  <c r="E9" i="5"/>
  <c r="F9" i="5" s="1"/>
  <c r="E8" i="5"/>
  <c r="F8" i="5" s="1"/>
  <c r="E7" i="5"/>
  <c r="F7" i="5" s="1"/>
  <c r="E6" i="5"/>
  <c r="F6" i="5" s="1"/>
  <c r="E5" i="5"/>
  <c r="C5" i="5"/>
  <c r="F14" i="2" l="1"/>
  <c r="G14" i="2"/>
  <c r="I6" i="2"/>
  <c r="J6" i="2" s="1"/>
  <c r="I8" i="2"/>
  <c r="J8" i="2" s="1"/>
  <c r="I10" i="2"/>
  <c r="J10" i="2" s="1"/>
  <c r="I7" i="2"/>
  <c r="J7" i="2" s="1"/>
  <c r="I9" i="2"/>
  <c r="J9" i="2" s="1"/>
  <c r="I5" i="2"/>
  <c r="J5" i="2" s="1"/>
  <c r="J13" i="8"/>
  <c r="D21" i="8"/>
  <c r="J17" i="8"/>
  <c r="H13" i="8"/>
  <c r="K13" i="8"/>
  <c r="C13" i="5"/>
  <c r="K17" i="8"/>
  <c r="C24" i="5"/>
  <c r="F5" i="5"/>
  <c r="D13" i="5" s="1"/>
  <c r="F17" i="5"/>
  <c r="D24" i="5" s="1"/>
  <c r="G18" i="2" l="1"/>
  <c r="H18" i="2" s="1"/>
  <c r="P11" i="2" s="1"/>
  <c r="F18" i="2"/>
  <c r="A42" i="5"/>
  <c r="N11" i="2" l="1"/>
  <c r="L18" i="2"/>
  <c r="I18" i="2"/>
  <c r="J18" i="2" s="1"/>
  <c r="K18" i="2"/>
  <c r="B22" i="2"/>
  <c r="G38" i="5"/>
  <c r="H38" i="5" s="1"/>
  <c r="G36" i="5"/>
  <c r="H36" i="5" s="1"/>
  <c r="G35" i="5"/>
  <c r="H35" i="5" s="1"/>
  <c r="G33" i="5"/>
  <c r="H33" i="5" s="1"/>
  <c r="G31" i="5"/>
  <c r="H31" i="5" s="1"/>
  <c r="G29" i="5"/>
  <c r="H29" i="5" s="1"/>
  <c r="G20" i="5"/>
  <c r="H20" i="5" s="1"/>
  <c r="G18" i="5"/>
  <c r="H18" i="5" s="1"/>
  <c r="G9" i="5"/>
  <c r="H9" i="5" s="1"/>
  <c r="G8" i="5"/>
  <c r="H8" i="5" s="1"/>
  <c r="G6" i="5"/>
  <c r="H6" i="5" s="1"/>
  <c r="G37" i="5"/>
  <c r="H37" i="5" s="1"/>
  <c r="G34" i="5"/>
  <c r="H34" i="5" s="1"/>
  <c r="G32" i="5"/>
  <c r="H32" i="5" s="1"/>
  <c r="G30" i="5"/>
  <c r="H30" i="5" s="1"/>
  <c r="G28" i="5"/>
  <c r="H28" i="5" s="1"/>
  <c r="G21" i="5"/>
  <c r="H21" i="5" s="1"/>
  <c r="G19" i="5"/>
  <c r="H19" i="5" s="1"/>
  <c r="G17" i="5"/>
  <c r="H17" i="5" s="1"/>
  <c r="G10" i="5"/>
  <c r="H10" i="5" s="1"/>
  <c r="G7" i="5"/>
  <c r="H7" i="5" s="1"/>
  <c r="G5" i="5"/>
  <c r="H5" i="5" s="1"/>
  <c r="A46" i="5" l="1"/>
  <c r="F13" i="5"/>
  <c r="G13" i="5"/>
  <c r="E13" i="5"/>
  <c r="F24" i="5"/>
  <c r="G24" i="5"/>
  <c r="E24" i="5"/>
  <c r="A50" i="5" l="1"/>
  <c r="B50" i="5" s="1"/>
  <c r="B46" i="5"/>
  <c r="C46" i="5" s="1"/>
  <c r="D46" i="5" s="1"/>
  <c r="B42" i="5"/>
  <c r="C42" i="5"/>
  <c r="D42" i="5" l="1"/>
  <c r="E42" i="5" s="1"/>
  <c r="G6" i="2"/>
  <c r="G7" i="2"/>
  <c r="G8" i="2"/>
  <c r="G9" i="2"/>
  <c r="G10" i="2"/>
  <c r="G5" i="2"/>
  <c r="F30" i="2"/>
  <c r="G30" i="2" s="1"/>
  <c r="D30" i="2"/>
  <c r="C30" i="2"/>
  <c r="B30" i="2"/>
  <c r="E26" i="2"/>
  <c r="D26" i="2"/>
  <c r="C26" i="2"/>
  <c r="B26" i="2"/>
  <c r="F26" i="2" s="1"/>
  <c r="D22" i="2"/>
  <c r="D21" i="2"/>
  <c r="H30" i="2" l="1"/>
  <c r="E30" i="2"/>
  <c r="H26" i="2"/>
  <c r="G26" i="2"/>
</calcChain>
</file>

<file path=xl/sharedStrings.xml><?xml version="1.0" encoding="utf-8"?>
<sst xmlns="http://schemas.openxmlformats.org/spreadsheetml/2006/main" count="199" uniqueCount="104">
  <si>
    <t>na</t>
  </si>
  <si>
    <t>nb</t>
  </si>
  <si>
    <t>g</t>
  </si>
  <si>
    <t xml:space="preserve">facteur correctif w </t>
  </si>
  <si>
    <t>variance de g</t>
  </si>
  <si>
    <t>g/sg</t>
  </si>
  <si>
    <t>valeur-p</t>
  </si>
  <si>
    <t>Borne inférieure</t>
  </si>
  <si>
    <t>Borne supérieure</t>
  </si>
  <si>
    <t>A</t>
  </si>
  <si>
    <t>B</t>
  </si>
  <si>
    <t>C</t>
  </si>
  <si>
    <t>D</t>
  </si>
  <si>
    <t>E</t>
  </si>
  <si>
    <t>F</t>
  </si>
  <si>
    <t>ma</t>
  </si>
  <si>
    <t>mb</t>
  </si>
  <si>
    <t>sa</t>
  </si>
  <si>
    <t>sb</t>
  </si>
  <si>
    <t>1,96*sg</t>
  </si>
  <si>
    <t>poids (P)</t>
  </si>
  <si>
    <t>variance* de g</t>
  </si>
  <si>
    <t>poids*(P*)</t>
  </si>
  <si>
    <t>M</t>
  </si>
  <si>
    <t>* : calculs pour le modèle des effets aléatoires</t>
  </si>
  <si>
    <t>M*</t>
  </si>
  <si>
    <t>Modèle de l'effet fixe</t>
  </si>
  <si>
    <t>Valeur p</t>
  </si>
  <si>
    <t>Modèle des effets aléatoires</t>
  </si>
  <si>
    <t>k</t>
  </si>
  <si>
    <t>k-1</t>
  </si>
  <si>
    <t>Q</t>
  </si>
  <si>
    <t>T²</t>
  </si>
  <si>
    <t>Intervalles de confiance (deux modèles)</t>
  </si>
  <si>
    <t>Intervalle de prédiction (modèle des effets aléatoires)</t>
  </si>
  <si>
    <t>k-2</t>
  </si>
  <si>
    <t>Var(M*)</t>
  </si>
  <si>
    <t>t0,05;4</t>
  </si>
  <si>
    <t>Hétérogénéité</t>
  </si>
  <si>
    <t>T</t>
  </si>
  <si>
    <t>I²</t>
  </si>
  <si>
    <t>Groupe A</t>
  </si>
  <si>
    <t>g²</t>
  </si>
  <si>
    <t>P²</t>
  </si>
  <si>
    <t>Q*</t>
  </si>
  <si>
    <t>Groupe B</t>
  </si>
  <si>
    <t>Toutes les études (A et B)</t>
  </si>
  <si>
    <t>T²intra</t>
  </si>
  <si>
    <t>H</t>
  </si>
  <si>
    <t>I</t>
  </si>
  <si>
    <t>J</t>
  </si>
  <si>
    <t>K</t>
  </si>
  <si>
    <t>G</t>
  </si>
  <si>
    <t>Méthode 3</t>
  </si>
  <si>
    <t>Q*intra</t>
  </si>
  <si>
    <t>Q*inter</t>
  </si>
  <si>
    <t>Méthode 2</t>
  </si>
  <si>
    <t>Méthode 1</t>
  </si>
  <si>
    <t>M*B-M*A</t>
  </si>
  <si>
    <t>var(M*B-M*A)</t>
  </si>
  <si>
    <t>Z*</t>
  </si>
  <si>
    <t>Erreur standard de M</t>
  </si>
  <si>
    <t>M/sM</t>
  </si>
  <si>
    <t>Erreur standard de M*</t>
  </si>
  <si>
    <t>M*/sM*</t>
  </si>
  <si>
    <t>Exemple 7</t>
  </si>
  <si>
    <t>écart-type de g</t>
  </si>
  <si>
    <t>sg</t>
  </si>
  <si>
    <t>Test Z</t>
  </si>
  <si>
    <t>Chapitre 10 (analyse de sous-groupes)</t>
  </si>
  <si>
    <t>Chapitres 8 et 10</t>
  </si>
  <si>
    <t>Chapitre 8</t>
  </si>
  <si>
    <t>Chapitre 10.1</t>
  </si>
  <si>
    <t>Chapitre 10.2</t>
  </si>
  <si>
    <t>Taille d'effet d'une méta-analyse, hétérogénéité</t>
  </si>
  <si>
    <t>Méthode 4</t>
  </si>
  <si>
    <t>n°</t>
  </si>
  <si>
    <t>1,96*s*</t>
  </si>
  <si>
    <t>Taille d'effet d'une étude, variance, intervalle de confiance</t>
  </si>
  <si>
    <t>variance groupée
(2.1)</t>
  </si>
  <si>
    <t>écart-type groupé
(2.2)</t>
  </si>
  <si>
    <t>facteur correctif w
(2.8)</t>
  </si>
  <si>
    <t>d de Cohen
(2.5)</t>
  </si>
  <si>
    <t xml:space="preserve"> g de Hedges
(2.7)</t>
  </si>
  <si>
    <t xml:space="preserve"> Delta de Glass
(2.10)</t>
  </si>
  <si>
    <t>variance de g
(2.9)</t>
  </si>
  <si>
    <t>poids (P)
(3.1)</t>
  </si>
  <si>
    <t>variance* de g
(3.6)</t>
  </si>
  <si>
    <t>poids*(P*)
(3.7)</t>
  </si>
  <si>
    <t>M
(3.2)</t>
  </si>
  <si>
    <t>variance de M (3.3)</t>
  </si>
  <si>
    <t>Q
(3.13)</t>
  </si>
  <si>
    <t>M*
(3.8)</t>
  </si>
  <si>
    <t>variance de M* (3.9)</t>
  </si>
  <si>
    <t>C
(3.16)</t>
  </si>
  <si>
    <t>T²
(3.17)</t>
  </si>
  <si>
    <t>Q      (3.13)</t>
  </si>
  <si>
    <t>C    (3.16)</t>
  </si>
  <si>
    <t>Q*    (3.15)</t>
  </si>
  <si>
    <t>M*   (3.8)</t>
  </si>
  <si>
    <t>varM*  (3.9)</t>
  </si>
  <si>
    <t>Chapitre 10 (tailles d'effet des méta-analyses, hétérogénéité, intervalles de confiance)</t>
  </si>
  <si>
    <t>Chapitre 8 (tailles d'effet d'une étude, variances et intervalles de confiance)</t>
  </si>
  <si>
    <t>Etude de deux sous-groupes d'études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</si>
</sst>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C9C9C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wrapText="1"/>
    </xf>
    <xf numFmtId="0" fontId="4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/>
    <xf numFmtId="165" fontId="0" fillId="0" borderId="1" xfId="0" applyNumberForma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/>
    <xf numFmtId="164" fontId="7" fillId="0" borderId="1" xfId="0" applyNumberFormat="1" applyFont="1" applyFill="1" applyBorder="1"/>
    <xf numFmtId="165" fontId="7" fillId="0" borderId="10" xfId="0" applyNumberFormat="1" applyFont="1" applyFill="1" applyBorder="1"/>
    <xf numFmtId="0" fontId="0" fillId="0" borderId="6" xfId="0" applyFill="1" applyBorder="1"/>
    <xf numFmtId="165" fontId="0" fillId="0" borderId="0" xfId="0" applyNumberForma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1" fontId="0" fillId="0" borderId="13" xfId="0" applyNumberForma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165" fontId="0" fillId="0" borderId="6" xfId="0" applyNumberFormat="1" applyFill="1" applyBorder="1"/>
    <xf numFmtId="165" fontId="7" fillId="0" borderId="11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165" fontId="7" fillId="0" borderId="14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0" fillId="0" borderId="1" xfId="0" applyFill="1" applyBorder="1"/>
    <xf numFmtId="165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Border="1"/>
    <xf numFmtId="0" fontId="1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Fill="1" applyBorder="1"/>
    <xf numFmtId="2" fontId="4" fillId="0" borderId="1" xfId="0" applyNumberFormat="1" applyFont="1" applyFill="1" applyBorder="1"/>
    <xf numFmtId="164" fontId="4" fillId="0" borderId="1" xfId="0" applyNumberFormat="1" applyFont="1" applyFill="1" applyBorder="1"/>
    <xf numFmtId="165" fontId="4" fillId="0" borderId="10" xfId="0" applyNumberFormat="1" applyFont="1" applyFill="1" applyBorder="1"/>
    <xf numFmtId="165" fontId="4" fillId="0" borderId="0" xfId="0" applyNumberFormat="1" applyFont="1" applyFill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/>
    <xf numFmtId="164" fontId="4" fillId="0" borderId="13" xfId="0" applyNumberFormat="1" applyFont="1" applyFill="1" applyBorder="1"/>
    <xf numFmtId="165" fontId="4" fillId="0" borderId="16" xfId="0" applyNumberFormat="1" applyFont="1" applyFill="1" applyBorder="1"/>
    <xf numFmtId="0" fontId="5" fillId="0" borderId="7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left"/>
    </xf>
    <xf numFmtId="0" fontId="8" fillId="0" borderId="0" xfId="1"/>
    <xf numFmtId="2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'Chapitre 8'!$D$21:$D$23</c:f>
                <c:numCache>
                  <c:formatCode>General</c:formatCode>
                  <c:ptCount val="3"/>
                  <c:pt idx="0">
                    <c:v>0.34344703762938494</c:v>
                  </c:pt>
                  <c:pt idx="1">
                    <c:v>0.20095500665701688</c:v>
                  </c:pt>
                </c:numCache>
              </c:numRef>
            </c:plus>
            <c:minus>
              <c:numRef>
                <c:f>'Chapitre 8'!$D$21:$D$23</c:f>
                <c:numCache>
                  <c:formatCode>General</c:formatCode>
                  <c:ptCount val="3"/>
                  <c:pt idx="0">
                    <c:v>0.34344703762938494</c:v>
                  </c:pt>
                  <c:pt idx="1">
                    <c:v>0.20095500665701688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'Chapitre 8'!$B$21:$B$23</c:f>
              <c:numCache>
                <c:formatCode>0.0000</c:formatCode>
                <c:ptCount val="3"/>
                <c:pt idx="0">
                  <c:v>0.27735640148036095</c:v>
                </c:pt>
                <c:pt idx="1">
                  <c:v>0.66438509989113559</c:v>
                </c:pt>
              </c:numCache>
            </c:numRef>
          </c:xVal>
          <c:yVal>
            <c:numRef>
              <c:f>'Chapitre 8'!$C$21:$C$23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43-4A76-8507-5785F8AA5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370376"/>
        <c:axId val="525368080"/>
      </c:scatterChart>
      <c:valAx>
        <c:axId val="525370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5368080"/>
        <c:crosses val="autoZero"/>
        <c:crossBetween val="midCat"/>
      </c:valAx>
      <c:valAx>
        <c:axId val="525368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5370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'[1]chapitre 10'!$D$21:$D$23</c:f>
                <c:numCache>
                  <c:formatCode>General</c:formatCode>
                  <c:ptCount val="3"/>
                  <c:pt idx="0">
                    <c:v>0.12541038571017044</c:v>
                  </c:pt>
                  <c:pt idx="1">
                    <c:v>0.20627158002268636</c:v>
                  </c:pt>
                </c:numCache>
              </c:numRef>
            </c:plus>
            <c:minus>
              <c:numRef>
                <c:f>'[1]chapitre 10'!$D$21:$D$23</c:f>
                <c:numCache>
                  <c:formatCode>General</c:formatCode>
                  <c:ptCount val="3"/>
                  <c:pt idx="0">
                    <c:v>0.12541038571017044</c:v>
                  </c:pt>
                  <c:pt idx="1">
                    <c:v>0.20627158002268636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'[1]chapitre 10'!$B$21:$B$23</c:f>
              <c:numCache>
                <c:formatCode>General</c:formatCode>
                <c:ptCount val="3"/>
                <c:pt idx="0">
                  <c:v>0.41428543085006853</c:v>
                </c:pt>
                <c:pt idx="1">
                  <c:v>0.35823402871189847</c:v>
                </c:pt>
              </c:numCache>
            </c:numRef>
          </c:xVal>
          <c:yVal>
            <c:numRef>
              <c:f>'[1]chapitre 10'!$C$21:$C$23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E0-4C7F-A76C-C4725D741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098240"/>
        <c:axId val="518099224"/>
      </c:scatterChart>
      <c:valAx>
        <c:axId val="51809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8099224"/>
        <c:crosses val="autoZero"/>
        <c:crossBetween val="midCat"/>
        <c:majorUnit val="0.1"/>
      </c:valAx>
      <c:valAx>
        <c:axId val="518099224"/>
        <c:scaling>
          <c:orientation val="minMax"/>
          <c:min val="0.5"/>
        </c:scaling>
        <c:delete val="1"/>
        <c:axPos val="l"/>
        <c:numFmt formatCode="General" sourceLinked="1"/>
        <c:majorTickMark val="out"/>
        <c:minorTickMark val="none"/>
        <c:tickLblPos val="nextTo"/>
        <c:crossAx val="518098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'[1]chapitre 10'!$D$28:$D$30</c:f>
                <c:numCache>
                  <c:formatCode>General</c:formatCode>
                  <c:ptCount val="3"/>
                  <c:pt idx="0">
                    <c:v>0.61074360246200154</c:v>
                  </c:pt>
                  <c:pt idx="1">
                    <c:v>0.20627158002268636</c:v>
                  </c:pt>
                </c:numCache>
              </c:numRef>
            </c:plus>
            <c:minus>
              <c:numRef>
                <c:f>'[1]chapitre 10'!$D$28:$D$30</c:f>
                <c:numCache>
                  <c:formatCode>General</c:formatCode>
                  <c:ptCount val="3"/>
                  <c:pt idx="0">
                    <c:v>0.61074360246200154</c:v>
                  </c:pt>
                  <c:pt idx="1">
                    <c:v>0.20627158002268636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'[1]chapitre 10'!$B$28:$B$30</c:f>
              <c:numCache>
                <c:formatCode>General</c:formatCode>
                <c:ptCount val="3"/>
                <c:pt idx="0">
                  <c:v>0.35823402871189847</c:v>
                </c:pt>
                <c:pt idx="1">
                  <c:v>0.35823402871189847</c:v>
                </c:pt>
              </c:numCache>
            </c:numRef>
          </c:xVal>
          <c:yVal>
            <c:numRef>
              <c:f>'[1]chapitre 10'!$C$28:$C$30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EE-4E30-9C49-A18100E6F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279504"/>
        <c:axId val="551280160"/>
      </c:scatterChart>
      <c:valAx>
        <c:axId val="55127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280160"/>
        <c:crosses val="autoZero"/>
        <c:crossBetween val="midCat"/>
        <c:majorUnit val="0.1"/>
      </c:valAx>
      <c:valAx>
        <c:axId val="551280160"/>
        <c:scaling>
          <c:orientation val="minMax"/>
          <c:min val="0.5"/>
        </c:scaling>
        <c:delete val="1"/>
        <c:axPos val="l"/>
        <c:numFmt formatCode="General" sourceLinked="1"/>
        <c:majorTickMark val="out"/>
        <c:minorTickMark val="none"/>
        <c:tickLblPos val="nextTo"/>
        <c:crossAx val="55127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76268834831183E-2"/>
          <c:y val="7.0834421371003528E-2"/>
          <c:w val="0.86652669923630232"/>
          <c:h val="0.7678456347083594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6"/>
            <c:marker>
              <c:symbol val="diamond"/>
              <c:size val="10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285-49BE-B5C2-B6387E17DAC9}"/>
              </c:ext>
            </c:extLst>
          </c:dPt>
          <c:dPt>
            <c:idx val="7"/>
            <c:marker>
              <c:symbol val="diamond"/>
              <c:size val="10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285-49BE-B5C2-B6387E17DAC9}"/>
              </c:ext>
            </c:extLst>
          </c:dPt>
          <c:errBars>
            <c:errDir val="x"/>
            <c:errBarType val="both"/>
            <c:errValType val="cust"/>
            <c:noEndCap val="0"/>
            <c:plus>
              <c:numRef>
                <c:f>'Chapitre10.1'!$P$4:$P$11</c:f>
                <c:numCache>
                  <c:formatCode>General</c:formatCode>
                  <c:ptCount val="8"/>
                  <c:pt idx="0">
                    <c:v>0.34344703762938494</c:v>
                  </c:pt>
                  <c:pt idx="1">
                    <c:v>0.20095500665701688</c:v>
                  </c:pt>
                  <c:pt idx="2">
                    <c:v>0.35576463702535904</c:v>
                  </c:pt>
                  <c:pt idx="3">
                    <c:v>0.43767123170622851</c:v>
                  </c:pt>
                  <c:pt idx="4">
                    <c:v>0.40476026462419351</c:v>
                  </c:pt>
                  <c:pt idx="5">
                    <c:v>0.29994677540389297</c:v>
                  </c:pt>
                  <c:pt idx="6">
                    <c:v>0.12541132901950677</c:v>
                  </c:pt>
                  <c:pt idx="7">
                    <c:v>0.20627298099817809</c:v>
                  </c:pt>
                </c:numCache>
              </c:numRef>
            </c:plus>
            <c:minus>
              <c:numRef>
                <c:f>'Chapitre10.1'!$P$4:$P$11</c:f>
                <c:numCache>
                  <c:formatCode>General</c:formatCode>
                  <c:ptCount val="8"/>
                  <c:pt idx="0">
                    <c:v>0.34344703762938494</c:v>
                  </c:pt>
                  <c:pt idx="1">
                    <c:v>0.20095500665701688</c:v>
                  </c:pt>
                  <c:pt idx="2">
                    <c:v>0.35576463702535904</c:v>
                  </c:pt>
                  <c:pt idx="3">
                    <c:v>0.43767123170622851</c:v>
                  </c:pt>
                  <c:pt idx="4">
                    <c:v>0.40476026462419351</c:v>
                  </c:pt>
                  <c:pt idx="5">
                    <c:v>0.29994677540389297</c:v>
                  </c:pt>
                  <c:pt idx="6">
                    <c:v>0.12541132901950677</c:v>
                  </c:pt>
                  <c:pt idx="7">
                    <c:v>0.20627298099817809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'Chapitre10.1'!$N$4:$N$11</c:f>
              <c:numCache>
                <c:formatCode>0.000</c:formatCode>
                <c:ptCount val="8"/>
                <c:pt idx="0">
                  <c:v>0.27735640148036095</c:v>
                </c:pt>
                <c:pt idx="1">
                  <c:v>0.66438509989113559</c:v>
                </c:pt>
                <c:pt idx="2">
                  <c:v>9.4524373360638306E-2</c:v>
                </c:pt>
                <c:pt idx="3">
                  <c:v>0.36654634845797818</c:v>
                </c:pt>
                <c:pt idx="4">
                  <c:v>0.46180797677414176</c:v>
                </c:pt>
                <c:pt idx="5">
                  <c:v>0.18516464424648887</c:v>
                </c:pt>
                <c:pt idx="6">
                  <c:v>0.41428749075789617</c:v>
                </c:pt>
                <c:pt idx="7">
                  <c:v>0.35823457483848181</c:v>
                </c:pt>
              </c:numCache>
            </c:numRef>
          </c:xVal>
          <c:yVal>
            <c:numRef>
              <c:f>'Chapitre10.1'!$O$4:$O$11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85-49BE-B5C2-B6387E17D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589864"/>
        <c:axId val="502586256"/>
      </c:scatterChart>
      <c:valAx>
        <c:axId val="502589864"/>
        <c:scaling>
          <c:orientation val="minMax"/>
          <c:min val="-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2586256"/>
        <c:crosses val="autoZero"/>
        <c:crossBetween val="midCat"/>
        <c:majorUnit val="0.2"/>
      </c:valAx>
      <c:valAx>
        <c:axId val="502586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2589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'Chapitre10.2'!$D$54:$D$55</c:f>
                <c:numCache>
                  <c:formatCode>General</c:formatCode>
                  <c:ptCount val="2"/>
                  <c:pt idx="0">
                    <c:v>0.17064138565949652</c:v>
                  </c:pt>
                  <c:pt idx="1">
                    <c:v>0.16260034968502066</c:v>
                  </c:pt>
                </c:numCache>
              </c:numRef>
            </c:plus>
            <c:minus>
              <c:numRef>
                <c:f>'Chapitre10.2'!$D$54:$D$55</c:f>
                <c:numCache>
                  <c:formatCode>General</c:formatCode>
                  <c:ptCount val="2"/>
                  <c:pt idx="0">
                    <c:v>0.17064138565949652</c:v>
                  </c:pt>
                  <c:pt idx="1">
                    <c:v>0.16260034968502066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'Chapitre10.2'!$B$54:$C$54</c:f>
              <c:numCache>
                <c:formatCode>General</c:formatCode>
                <c:ptCount val="2"/>
                <c:pt idx="0" formatCode="0.00">
                  <c:v>0.37056005010838822</c:v>
                </c:pt>
                <c:pt idx="1">
                  <c:v>1</c:v>
                </c:pt>
              </c:numCache>
            </c:numRef>
          </c:xVal>
          <c:yVal>
            <c:numRef>
              <c:f>'Chapitre10.2'!$B$55:$C$55</c:f>
              <c:numCache>
                <c:formatCode>General</c:formatCode>
                <c:ptCount val="2"/>
                <c:pt idx="0" formatCode="0.00">
                  <c:v>0.60754940481705155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D-404A-8446-DD9E34F13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00224"/>
        <c:axId val="711100280"/>
      </c:scatterChart>
      <c:valAx>
        <c:axId val="55760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1100280"/>
        <c:crosses val="autoZero"/>
        <c:crossBetween val="midCat"/>
      </c:valAx>
      <c:valAx>
        <c:axId val="71110028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557600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19</xdr:row>
      <xdr:rowOff>9524</xdr:rowOff>
    </xdr:from>
    <xdr:to>
      <xdr:col>11</xdr:col>
      <xdr:colOff>139700</xdr:colOff>
      <xdr:row>25</xdr:row>
      <xdr:rowOff>4761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B4DE760-0173-4837-B98F-5ED490971A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2165</xdr:colOff>
      <xdr:row>18</xdr:row>
      <xdr:rowOff>142875</xdr:rowOff>
    </xdr:from>
    <xdr:to>
      <xdr:col>11</xdr:col>
      <xdr:colOff>127000</xdr:colOff>
      <xdr:row>22</xdr:row>
      <xdr:rowOff>82261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D11B88-0BE7-4991-8D51-3EC54E142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53541</xdr:colOff>
      <xdr:row>23</xdr:row>
      <xdr:rowOff>79375</xdr:rowOff>
    </xdr:from>
    <xdr:to>
      <xdr:col>16</xdr:col>
      <xdr:colOff>529166</xdr:colOff>
      <xdr:row>27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B1A7F3D-08C0-4708-B5DD-08B020B9D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339148</xdr:colOff>
      <xdr:row>2</xdr:row>
      <xdr:rowOff>73334</xdr:rowOff>
    </xdr:from>
    <xdr:to>
      <xdr:col>20</xdr:col>
      <xdr:colOff>386773</xdr:colOff>
      <xdr:row>11</xdr:row>
      <xdr:rowOff>127000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94927FF-1EB6-41E2-A553-093F3191C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386951</xdr:colOff>
      <xdr:row>50</xdr:row>
      <xdr:rowOff>11904</xdr:rowOff>
    </xdr:from>
    <xdr:to>
      <xdr:col>10</xdr:col>
      <xdr:colOff>279795</xdr:colOff>
      <xdr:row>56</xdr:row>
      <xdr:rowOff>59529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A37DF95-623C-4F40-98DE-8A1856CC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itre 1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30BC-FE26-4EEB-BFF5-58E4A3665B5A}">
  <dimension ref="A1:B5"/>
  <sheetViews>
    <sheetView workbookViewId="0">
      <selection activeCell="J9" sqref="J9"/>
    </sheetView>
  </sheetViews>
  <sheetFormatPr baseColWidth="10" defaultRowHeight="15" x14ac:dyDescent="0.25"/>
  <cols>
    <col min="1" max="1" width="14.85546875" customWidth="1"/>
  </cols>
  <sheetData>
    <row r="1" spans="1:2" x14ac:dyDescent="0.25">
      <c r="A1" s="28" t="s">
        <v>65</v>
      </c>
      <c r="B1" t="s">
        <v>70</v>
      </c>
    </row>
    <row r="3" spans="1:2" x14ac:dyDescent="0.25">
      <c r="A3" s="112" t="s">
        <v>71</v>
      </c>
      <c r="B3" t="s">
        <v>78</v>
      </c>
    </row>
    <row r="4" spans="1:2" x14ac:dyDescent="0.25">
      <c r="A4" s="112" t="s">
        <v>72</v>
      </c>
      <c r="B4" t="s">
        <v>74</v>
      </c>
    </row>
    <row r="5" spans="1:2" x14ac:dyDescent="0.25">
      <c r="A5" s="112" t="s">
        <v>73</v>
      </c>
      <c r="B5" t="s">
        <v>103</v>
      </c>
    </row>
  </sheetData>
  <hyperlinks>
    <hyperlink ref="A3" location="'Chapitre 8'!A1" display="Chapitre 8" xr:uid="{BCDFA556-07B1-48E6-8F9A-92F8EC327E66}"/>
    <hyperlink ref="A4" location="Chapitre10.1!A1" display="Chapitre 10.1" xr:uid="{D3C80D6A-709D-4C7E-B21A-ABD7883D5CC8}"/>
    <hyperlink ref="A5" location="Chapitre10.2!A1" display="Chapitre 10.2" xr:uid="{B538B066-1C58-4A5F-94E1-B8329F0394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05343-C60E-4107-B119-7E68E3E143C9}">
  <dimension ref="A1:M23"/>
  <sheetViews>
    <sheetView tabSelected="1" topLeftCell="A4" zoomScaleNormal="100" workbookViewId="0">
      <selection activeCell="M22" sqref="M22"/>
    </sheetView>
  </sheetViews>
  <sheetFormatPr baseColWidth="10" defaultRowHeight="15" x14ac:dyDescent="0.25"/>
  <cols>
    <col min="1" max="1" width="3.28515625" customWidth="1"/>
    <col min="2" max="2" width="9.140625" customWidth="1"/>
    <col min="3" max="3" width="5.140625" customWidth="1"/>
    <col min="4" max="4" width="8.5703125" customWidth="1"/>
    <col min="5" max="5" width="10.85546875" customWidth="1"/>
    <col min="6" max="6" width="8.140625" customWidth="1"/>
    <col min="7" max="7" width="7.28515625" customWidth="1"/>
    <col min="11" max="11" width="10.5703125" customWidth="1"/>
    <col min="12" max="12" width="11.140625" customWidth="1"/>
  </cols>
  <sheetData>
    <row r="1" spans="1:13" x14ac:dyDescent="0.25">
      <c r="A1" s="28" t="s">
        <v>65</v>
      </c>
      <c r="B1" s="1"/>
      <c r="C1" s="1"/>
      <c r="D1" s="107" t="s">
        <v>102</v>
      </c>
      <c r="E1" s="1"/>
      <c r="G1" s="1"/>
      <c r="H1" s="1"/>
      <c r="I1" s="1"/>
      <c r="J1" s="1"/>
      <c r="K1" s="1"/>
      <c r="L1" s="1"/>
      <c r="M1" s="1"/>
    </row>
    <row r="2" spans="1:13" s="108" customFormat="1" x14ac:dyDescent="0.25">
      <c r="B2" s="109"/>
      <c r="C2" s="109"/>
      <c r="D2" s="109"/>
      <c r="E2" s="109"/>
      <c r="G2" s="109"/>
      <c r="H2" s="109"/>
      <c r="I2" s="109"/>
      <c r="J2" s="109"/>
      <c r="K2" s="109"/>
      <c r="L2" s="109"/>
      <c r="M2" s="109"/>
    </row>
    <row r="3" spans="1:13" ht="45" customHeight="1" x14ac:dyDescent="0.25">
      <c r="A3" s="10"/>
      <c r="B3" s="104" t="s">
        <v>0</v>
      </c>
      <c r="C3" s="104" t="s">
        <v>1</v>
      </c>
      <c r="D3" s="104" t="s">
        <v>15</v>
      </c>
      <c r="E3" s="104" t="s">
        <v>16</v>
      </c>
      <c r="F3" s="104" t="s">
        <v>17</v>
      </c>
      <c r="G3" s="104" t="s">
        <v>18</v>
      </c>
      <c r="H3" s="11" t="s">
        <v>79</v>
      </c>
      <c r="I3" s="11" t="s">
        <v>80</v>
      </c>
      <c r="J3" s="11" t="s">
        <v>81</v>
      </c>
      <c r="K3" s="11" t="s">
        <v>82</v>
      </c>
      <c r="L3" s="11" t="s">
        <v>83</v>
      </c>
      <c r="M3" s="11" t="s">
        <v>84</v>
      </c>
    </row>
    <row r="4" spans="1:13" x14ac:dyDescent="0.25">
      <c r="A4" s="12" t="s">
        <v>9</v>
      </c>
      <c r="B4" s="13">
        <v>65</v>
      </c>
      <c r="C4" s="13">
        <v>65</v>
      </c>
      <c r="D4" s="13">
        <v>98</v>
      </c>
      <c r="E4" s="13">
        <v>92</v>
      </c>
      <c r="F4" s="13">
        <v>21</v>
      </c>
      <c r="G4" s="13">
        <v>22</v>
      </c>
      <c r="H4" s="14">
        <f>((B4-1)*F4^2+(C4-1)*G4^2)/(B4+C4-2)</f>
        <v>462.5</v>
      </c>
      <c r="I4" s="15">
        <f>H4^0.5</f>
        <v>21.505813167606568</v>
      </c>
      <c r="J4" s="15">
        <f>1-3/(4*(B4+C4)-9)</f>
        <v>0.9941291585127201</v>
      </c>
      <c r="K4" s="15">
        <f>(D4-E4)/I4</f>
        <v>0.27899433298516624</v>
      </c>
      <c r="L4" s="15">
        <f>(D4-E4)*(1-3/(4*(B4+C4)-9))/I4</f>
        <v>0.27735640148036095</v>
      </c>
      <c r="M4" s="15">
        <f>(D4-E4)/G4</f>
        <v>0.27272727272727271</v>
      </c>
    </row>
    <row r="5" spans="1:13" x14ac:dyDescent="0.25">
      <c r="A5" s="12" t="s">
        <v>10</v>
      </c>
      <c r="B5" s="13">
        <v>200</v>
      </c>
      <c r="C5" s="13">
        <v>200</v>
      </c>
      <c r="D5" s="13">
        <v>94</v>
      </c>
      <c r="E5" s="13">
        <v>82</v>
      </c>
      <c r="F5" s="13">
        <v>19</v>
      </c>
      <c r="G5" s="13">
        <v>17</v>
      </c>
      <c r="H5" s="14">
        <f>((B5-1)*F5^2+(C5-1)*G5^2)/(B5+C5-2)</f>
        <v>325</v>
      </c>
      <c r="I5" s="15">
        <f>H5^0.5</f>
        <v>18.027756377319946</v>
      </c>
      <c r="J5" s="15">
        <f>1-3/(4*(B5+C5)-9)</f>
        <v>0.99811439346323072</v>
      </c>
      <c r="K5" s="15">
        <f>(D5-E5)/I5</f>
        <v>0.66564023547027495</v>
      </c>
      <c r="L5" s="15">
        <f>(D5-E5)*(1-3/(4*(B5+C5)-9))/I5</f>
        <v>0.66438509989113559</v>
      </c>
      <c r="M5" s="15">
        <f>(D5-E5)/G5</f>
        <v>0.70588235294117652</v>
      </c>
    </row>
    <row r="6" spans="1:13" x14ac:dyDescent="0.25">
      <c r="A6" s="12" t="s">
        <v>11</v>
      </c>
      <c r="B6" s="13">
        <v>60</v>
      </c>
      <c r="C6" s="13">
        <v>60</v>
      </c>
      <c r="D6" s="13">
        <v>94</v>
      </c>
      <c r="E6" s="13">
        <v>92</v>
      </c>
      <c r="F6" s="13">
        <v>22</v>
      </c>
      <c r="G6" s="13">
        <v>20</v>
      </c>
      <c r="H6" s="14">
        <f>((B6-1)*F6^2+(C6-1)*G6^2)/(B6+C6-2)</f>
        <v>442</v>
      </c>
      <c r="I6" s="15">
        <f>H6^0.5</f>
        <v>21.023796041628639</v>
      </c>
      <c r="J6" s="15">
        <f>1-3/(4*(B6+C6)-9)</f>
        <v>0.99363057324840764</v>
      </c>
      <c r="K6" s="15">
        <f>(D6-E6)/I6</f>
        <v>9.513029883089881E-2</v>
      </c>
      <c r="L6" s="15">
        <f>(D6-E6)*(1-3/(4*(B6+C6)-9))/I6</f>
        <v>9.4524373360638306E-2</v>
      </c>
      <c r="M6" s="15">
        <f>(D6-E6)/G6</f>
        <v>0.1</v>
      </c>
    </row>
    <row r="7" spans="1:13" x14ac:dyDescent="0.25">
      <c r="A7" s="12" t="s">
        <v>12</v>
      </c>
      <c r="B7" s="13">
        <v>40</v>
      </c>
      <c r="C7" s="13">
        <v>40</v>
      </c>
      <c r="D7" s="13">
        <v>98</v>
      </c>
      <c r="E7" s="13">
        <v>88</v>
      </c>
      <c r="F7" s="13">
        <v>28</v>
      </c>
      <c r="G7" s="13">
        <v>26</v>
      </c>
      <c r="H7" s="14">
        <f t="shared" ref="H7:H9" si="0">((B7-1)*F7^2+(C7-1)*G7^2)/(B7+C7-2)</f>
        <v>730</v>
      </c>
      <c r="I7" s="15">
        <f t="shared" ref="I7:I9" si="1">H7^0.5</f>
        <v>27.018512172212592</v>
      </c>
      <c r="J7" s="15">
        <f t="shared" ref="J7:J9" si="2">1-3/(4*(B7+C7)-9)</f>
        <v>0.99035369774919613</v>
      </c>
      <c r="K7" s="15">
        <f t="shared" ref="K7:K9" si="3">(D7-E7)/I7</f>
        <v>0.37011660509880262</v>
      </c>
      <c r="L7" s="15">
        <f t="shared" ref="L7:L9" si="4">(D7-E7)*(1-3/(4*(B7+C7)-9))/I7</f>
        <v>0.36654634845797818</v>
      </c>
      <c r="M7" s="15">
        <f t="shared" ref="M7:M9" si="5">(D7-E7)/G7</f>
        <v>0.38461538461538464</v>
      </c>
    </row>
    <row r="8" spans="1:13" x14ac:dyDescent="0.25">
      <c r="A8" s="12" t="s">
        <v>13</v>
      </c>
      <c r="B8" s="13">
        <v>50</v>
      </c>
      <c r="C8" s="13">
        <v>45</v>
      </c>
      <c r="D8" s="13">
        <v>98</v>
      </c>
      <c r="E8" s="13">
        <v>88</v>
      </c>
      <c r="F8" s="13">
        <v>21</v>
      </c>
      <c r="G8" s="13">
        <v>22</v>
      </c>
      <c r="H8" s="16">
        <f t="shared" si="0"/>
        <v>461.3440860215054</v>
      </c>
      <c r="I8" s="15">
        <f t="shared" si="1"/>
        <v>21.478921900819543</v>
      </c>
      <c r="J8" s="15">
        <f t="shared" si="2"/>
        <v>0.99191374663072773</v>
      </c>
      <c r="K8" s="15">
        <f t="shared" si="3"/>
        <v>0.46557271571523534</v>
      </c>
      <c r="L8" s="15">
        <f t="shared" si="4"/>
        <v>0.46180797677414176</v>
      </c>
      <c r="M8" s="15">
        <f t="shared" si="5"/>
        <v>0.45454545454545453</v>
      </c>
    </row>
    <row r="9" spans="1:13" x14ac:dyDescent="0.25">
      <c r="A9" s="12" t="s">
        <v>14</v>
      </c>
      <c r="B9" s="13">
        <v>85</v>
      </c>
      <c r="C9" s="13">
        <v>85</v>
      </c>
      <c r="D9" s="13">
        <v>96</v>
      </c>
      <c r="E9" s="13">
        <v>92</v>
      </c>
      <c r="F9" s="13">
        <v>21</v>
      </c>
      <c r="G9" s="13">
        <v>22</v>
      </c>
      <c r="H9" s="14">
        <f t="shared" si="0"/>
        <v>462.5</v>
      </c>
      <c r="I9" s="15">
        <f t="shared" si="1"/>
        <v>21.505813167606568</v>
      </c>
      <c r="J9" s="15">
        <f t="shared" si="2"/>
        <v>0.99552906110283157</v>
      </c>
      <c r="K9" s="15">
        <f t="shared" si="3"/>
        <v>0.18599622199011084</v>
      </c>
      <c r="L9" s="15">
        <f t="shared" si="4"/>
        <v>0.18516464424648887</v>
      </c>
      <c r="M9" s="15">
        <f t="shared" si="5"/>
        <v>0.18181818181818182</v>
      </c>
    </row>
    <row r="10" spans="1:13" ht="14.25" customHeight="1" x14ac:dyDescent="0.25"/>
    <row r="11" spans="1:13" x14ac:dyDescent="0.25">
      <c r="B11" s="1"/>
      <c r="C11" s="1"/>
      <c r="D11" s="1"/>
      <c r="E11" s="1"/>
      <c r="G11" s="1"/>
      <c r="H11" s="1"/>
      <c r="I11" s="1"/>
      <c r="J11" s="119" t="s">
        <v>68</v>
      </c>
      <c r="K11" s="119"/>
      <c r="L11" s="105"/>
    </row>
    <row r="12" spans="1:13" ht="45" customHeight="1" x14ac:dyDescent="0.25">
      <c r="A12" s="2"/>
      <c r="B12" s="3" t="s">
        <v>0</v>
      </c>
      <c r="C12" s="3" t="s">
        <v>1</v>
      </c>
      <c r="D12" s="3" t="s">
        <v>2</v>
      </c>
      <c r="E12" s="116" t="s">
        <v>3</v>
      </c>
      <c r="F12" s="116" t="s">
        <v>85</v>
      </c>
      <c r="G12" s="116" t="s">
        <v>67</v>
      </c>
      <c r="H12" s="116" t="s">
        <v>5</v>
      </c>
      <c r="I12" s="116" t="s">
        <v>6</v>
      </c>
      <c r="J12" s="116" t="s">
        <v>7</v>
      </c>
      <c r="K12" s="116" t="s">
        <v>8</v>
      </c>
    </row>
    <row r="13" spans="1:13" x14ac:dyDescent="0.25">
      <c r="A13" s="4" t="s">
        <v>9</v>
      </c>
      <c r="B13" s="5">
        <v>65</v>
      </c>
      <c r="C13" s="5">
        <v>65</v>
      </c>
      <c r="D13" s="9">
        <v>0.27735640148036095</v>
      </c>
      <c r="E13" s="7">
        <f>(1-3/(4*(C13+B13)-9))</f>
        <v>0.9941291585127201</v>
      </c>
      <c r="F13" s="7">
        <f>E13^2*(1/B13+1/C13)+D13^2*(1/(2*(B13+C13)))</f>
        <v>3.0704880168783876E-2</v>
      </c>
      <c r="G13" s="7">
        <f>F13^0.5</f>
        <v>0.17522808042315557</v>
      </c>
      <c r="H13" s="7">
        <f t="shared" ref="H13:H18" si="6">D13/G13</f>
        <v>1.5828307929332861</v>
      </c>
      <c r="I13" s="7">
        <f>IF(H13&lt;0,2*_xlfn.NORM.S.DIST(H13,TRUE),2*(1-_xlfn.NORM.S.DIST(H13,TRUE)))</f>
        <v>0.11346003618352385</v>
      </c>
      <c r="J13" s="7">
        <f t="shared" ref="J13:J18" si="7">D13-1.96*G13</f>
        <v>-6.6090636149023996E-2</v>
      </c>
      <c r="K13" s="7">
        <f t="shared" ref="K13:K18" si="8">D13+1.96*G13</f>
        <v>0.62080343910974589</v>
      </c>
    </row>
    <row r="14" spans="1:13" x14ac:dyDescent="0.25">
      <c r="A14" s="4" t="s">
        <v>10</v>
      </c>
      <c r="B14" s="5">
        <v>200</v>
      </c>
      <c r="C14" s="5">
        <v>200</v>
      </c>
      <c r="D14" s="9">
        <v>0.66438509989113559</v>
      </c>
      <c r="E14" s="7">
        <f>(1-3/(4*(C14+B14)-9))</f>
        <v>0.99811439346323072</v>
      </c>
      <c r="F14" s="7">
        <f>E14^2*(1/B14+1/C14+D14^2*(1/(2*(B14+C14))))</f>
        <v>1.0512004034912977E-2</v>
      </c>
      <c r="G14" s="7">
        <f>F14^0.5</f>
        <v>0.10252806462092698</v>
      </c>
      <c r="H14" s="7">
        <f t="shared" si="6"/>
        <v>6.480031612296016</v>
      </c>
      <c r="I14" s="7">
        <f>IF(H14&lt;0,2*_xlfn.NORM.S.DIST(H14,TRUE),2*(1-_xlfn.NORM.S.DIST(H14,TRUE)))</f>
        <v>9.1703311611013305E-11</v>
      </c>
      <c r="J14" s="7">
        <f t="shared" si="7"/>
        <v>0.46343009323411871</v>
      </c>
      <c r="K14" s="7">
        <f t="shared" si="8"/>
        <v>0.86534010654815252</v>
      </c>
    </row>
    <row r="15" spans="1:13" x14ac:dyDescent="0.25">
      <c r="A15" s="4" t="s">
        <v>11</v>
      </c>
      <c r="B15" s="5">
        <v>60</v>
      </c>
      <c r="C15" s="5">
        <v>60</v>
      </c>
      <c r="D15" s="6">
        <v>9.4524373360638306E-2</v>
      </c>
      <c r="E15" s="7">
        <f>(1-3/(4*(C15+B15)-9))</f>
        <v>0.99363057324840764</v>
      </c>
      <c r="F15" s="7">
        <f>E15^2*(1/B15+1/C15+D15^2*(1/(2*(B15+C15))))</f>
        <v>3.2946813035658447E-2</v>
      </c>
      <c r="G15" s="7">
        <f>F15^0.5</f>
        <v>0.18151256991089748</v>
      </c>
      <c r="H15" s="7">
        <f t="shared" si="6"/>
        <v>0.5207593799539022</v>
      </c>
      <c r="I15" s="7">
        <f>IF(H15&lt;0,2*_xlfn.NORM.S.DIST(H15,TRUE),2*(1-_xlfn.NORM.S.DIST(H15,TRUE)))</f>
        <v>0.60253440317418616</v>
      </c>
      <c r="J15" s="7">
        <f t="shared" si="7"/>
        <v>-0.26124026366472075</v>
      </c>
      <c r="K15" s="7">
        <f t="shared" si="8"/>
        <v>0.45028901038599733</v>
      </c>
    </row>
    <row r="16" spans="1:13" x14ac:dyDescent="0.25">
      <c r="A16" s="4" t="s">
        <v>12</v>
      </c>
      <c r="B16" s="5">
        <v>40</v>
      </c>
      <c r="C16" s="5">
        <v>40</v>
      </c>
      <c r="D16" s="9">
        <v>0.36654634845797818</v>
      </c>
      <c r="E16" s="7">
        <f t="shared" ref="E16:E18" si="9">(1-3/(4*(C16+B16)-9))</f>
        <v>0.99035369774919613</v>
      </c>
      <c r="F16" s="7">
        <f t="shared" ref="F16:F18" si="10">E16^2*(1/B16+1/C16+D16^2*(1/(2*(B16+C16))))</f>
        <v>4.986362637006643E-2</v>
      </c>
      <c r="G16" s="7">
        <f t="shared" ref="G16:G18" si="11">F16^0.5</f>
        <v>0.22330164882970843</v>
      </c>
      <c r="H16" s="7">
        <f t="shared" si="6"/>
        <v>1.6414851855281609</v>
      </c>
      <c r="I16" s="7">
        <f t="shared" ref="I16:I18" si="12">IF(H16&lt;0,2*_xlfn.NORM.S.DIST(H16,TRUE),2*(1-_xlfn.NORM.S.DIST(H16,TRUE)))</f>
        <v>0.10069673980425309</v>
      </c>
      <c r="J16" s="7">
        <f t="shared" si="7"/>
        <v>-7.1124883248250337E-2</v>
      </c>
      <c r="K16" s="7">
        <f t="shared" si="8"/>
        <v>0.80421758016420664</v>
      </c>
    </row>
    <row r="17" spans="1:11" x14ac:dyDescent="0.25">
      <c r="A17" s="4" t="s">
        <v>13</v>
      </c>
      <c r="B17" s="5">
        <v>50</v>
      </c>
      <c r="C17" s="5">
        <v>45</v>
      </c>
      <c r="D17" s="9">
        <v>0.46180797677414176</v>
      </c>
      <c r="E17" s="7">
        <f t="shared" si="9"/>
        <v>0.99191374663072773</v>
      </c>
      <c r="F17" s="7">
        <f t="shared" si="10"/>
        <v>4.2646520152709068E-2</v>
      </c>
      <c r="G17" s="7">
        <f t="shared" si="11"/>
        <v>0.20651033909397629</v>
      </c>
      <c r="H17" s="7">
        <f t="shared" si="6"/>
        <v>2.236246276095589</v>
      </c>
      <c r="I17" s="7">
        <f t="shared" si="12"/>
        <v>2.5335643453883172E-2</v>
      </c>
      <c r="J17" s="7">
        <f t="shared" si="7"/>
        <v>5.7047712149948249E-2</v>
      </c>
      <c r="K17" s="7">
        <f t="shared" si="8"/>
        <v>0.86656824139833533</v>
      </c>
    </row>
    <row r="18" spans="1:11" x14ac:dyDescent="0.25">
      <c r="A18" s="4" t="s">
        <v>14</v>
      </c>
      <c r="B18" s="5">
        <v>85</v>
      </c>
      <c r="C18" s="5">
        <v>85</v>
      </c>
      <c r="D18" s="9">
        <v>0.18516464424648887</v>
      </c>
      <c r="E18" s="7">
        <f t="shared" si="9"/>
        <v>0.99552906110283157</v>
      </c>
      <c r="F18" s="7">
        <f t="shared" si="10"/>
        <v>2.3419426300289828E-2</v>
      </c>
      <c r="G18" s="7">
        <f t="shared" si="11"/>
        <v>0.15303406908361886</v>
      </c>
      <c r="H18" s="7">
        <f t="shared" si="6"/>
        <v>1.2099570073204657</v>
      </c>
      <c r="I18" s="7">
        <f t="shared" si="12"/>
        <v>0.22629539048135161</v>
      </c>
      <c r="J18" s="7">
        <f t="shared" si="7"/>
        <v>-0.1147821311574041</v>
      </c>
      <c r="K18" s="7">
        <f t="shared" si="8"/>
        <v>0.48511141965038185</v>
      </c>
    </row>
    <row r="20" spans="1:11" x14ac:dyDescent="0.25">
      <c r="A20" s="17"/>
      <c r="B20" s="20" t="s">
        <v>2</v>
      </c>
      <c r="D20" s="20" t="s">
        <v>19</v>
      </c>
    </row>
    <row r="21" spans="1:11" x14ac:dyDescent="0.25">
      <c r="A21" s="18" t="s">
        <v>9</v>
      </c>
      <c r="B21" s="19">
        <f>D13</f>
        <v>0.27735640148036095</v>
      </c>
      <c r="C21" s="18">
        <v>1</v>
      </c>
      <c r="D21" s="17">
        <f>1.96*G13</f>
        <v>0.34344703762938494</v>
      </c>
    </row>
    <row r="22" spans="1:11" x14ac:dyDescent="0.25">
      <c r="A22" s="18" t="s">
        <v>10</v>
      </c>
      <c r="B22" s="19">
        <f>D14</f>
        <v>0.66438509989113559</v>
      </c>
      <c r="C22" s="18">
        <v>2</v>
      </c>
      <c r="D22" s="17">
        <f>1.96*G14</f>
        <v>0.20095500665701688</v>
      </c>
    </row>
    <row r="23" spans="1:11" x14ac:dyDescent="0.25">
      <c r="C23" s="106"/>
    </row>
  </sheetData>
  <mergeCells count="1">
    <mergeCell ref="J11:K11"/>
  </mergeCells>
  <conditionalFormatting sqref="I13:I18">
    <cfRule type="cellIs" dxfId="0" priority="1" operator="greaterThan">
      <formula>0.05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491E-9554-44E8-937C-6BD5E2C20393}">
  <dimension ref="A1:P30"/>
  <sheetViews>
    <sheetView zoomScale="90" zoomScaleNormal="90" workbookViewId="0">
      <selection activeCell="I14" sqref="I14"/>
    </sheetView>
  </sheetViews>
  <sheetFormatPr baseColWidth="10" defaultRowHeight="15" x14ac:dyDescent="0.25"/>
  <cols>
    <col min="1" max="1" width="6.140625" customWidth="1"/>
    <col min="2" max="2" width="9.85546875" style="1" customWidth="1"/>
    <col min="3" max="3" width="8.85546875" style="1" customWidth="1"/>
    <col min="4" max="4" width="10.28515625" style="1" customWidth="1"/>
    <col min="5" max="5" width="10.42578125" style="1" customWidth="1"/>
    <col min="6" max="6" width="10.140625" style="1" customWidth="1"/>
    <col min="7" max="7" width="11.7109375" customWidth="1"/>
    <col min="8" max="8" width="12" style="1" customWidth="1"/>
    <col min="9" max="9" width="13.5703125" style="1" customWidth="1"/>
    <col min="10" max="10" width="10.140625" style="1" customWidth="1"/>
    <col min="11" max="11" width="10.42578125" customWidth="1"/>
    <col min="12" max="12" width="11.5703125" customWidth="1"/>
    <col min="13" max="13" width="3.7109375" customWidth="1"/>
    <col min="14" max="14" width="6.7109375" customWidth="1"/>
    <col min="15" max="15" width="2.5703125" customWidth="1"/>
    <col min="16" max="16" width="7.140625" customWidth="1"/>
  </cols>
  <sheetData>
    <row r="1" spans="1:16" x14ac:dyDescent="0.25">
      <c r="A1" s="28" t="s">
        <v>65</v>
      </c>
      <c r="C1" s="107" t="s">
        <v>101</v>
      </c>
    </row>
    <row r="2" spans="1:16" x14ac:dyDescent="0.25">
      <c r="A2" s="28"/>
      <c r="C2"/>
    </row>
    <row r="3" spans="1:16" x14ac:dyDescent="0.25">
      <c r="A3" t="s">
        <v>24</v>
      </c>
      <c r="C3"/>
    </row>
    <row r="4" spans="1:16" s="23" customFormat="1" ht="28.5" customHeight="1" x14ac:dyDescent="0.25">
      <c r="A4" s="21"/>
      <c r="B4" s="27" t="s">
        <v>0</v>
      </c>
      <c r="C4" s="27" t="s">
        <v>1</v>
      </c>
      <c r="D4" s="27" t="s">
        <v>2</v>
      </c>
      <c r="E4" s="27" t="s">
        <v>42</v>
      </c>
      <c r="F4" s="22" t="s">
        <v>4</v>
      </c>
      <c r="G4" s="22" t="s">
        <v>66</v>
      </c>
      <c r="H4" s="27" t="s">
        <v>86</v>
      </c>
      <c r="I4" s="22" t="s">
        <v>87</v>
      </c>
      <c r="J4" s="27" t="s">
        <v>88</v>
      </c>
      <c r="M4" s="4" t="s">
        <v>9</v>
      </c>
      <c r="N4" s="31">
        <v>0.27735640148036095</v>
      </c>
      <c r="O4" s="21">
        <v>8</v>
      </c>
      <c r="P4" s="31">
        <f t="shared" ref="P4:P9" si="0">1.96*F5^0.5</f>
        <v>0.34344703762938494</v>
      </c>
    </row>
    <row r="5" spans="1:16" s="23" customFormat="1" x14ac:dyDescent="0.25">
      <c r="A5" s="24" t="s">
        <v>9</v>
      </c>
      <c r="B5" s="24">
        <v>65</v>
      </c>
      <c r="C5" s="24">
        <v>65</v>
      </c>
      <c r="D5" s="25">
        <v>0.27735640148036095</v>
      </c>
      <c r="E5" s="118">
        <f>D5^2</f>
        <v>7.6926573442135174E-2</v>
      </c>
      <c r="F5" s="25">
        <v>3.0704880168783876E-2</v>
      </c>
      <c r="G5" s="117">
        <f>F5^0.5</f>
        <v>0.17522808042315557</v>
      </c>
      <c r="H5" s="25">
        <f>1/F5</f>
        <v>32.568112772400596</v>
      </c>
      <c r="I5" s="25">
        <f>F5+$E$18</f>
        <v>6.801785610292238E-2</v>
      </c>
      <c r="J5" s="25">
        <f>1/I5</f>
        <v>14.702021752741411</v>
      </c>
      <c r="M5" s="4" t="s">
        <v>10</v>
      </c>
      <c r="N5" s="8">
        <v>0.66438509989113559</v>
      </c>
      <c r="O5" s="4">
        <v>7</v>
      </c>
      <c r="P5" s="31">
        <f t="shared" si="0"/>
        <v>0.20095500665701688</v>
      </c>
    </row>
    <row r="6" spans="1:16" x14ac:dyDescent="0.25">
      <c r="A6" s="24" t="s">
        <v>10</v>
      </c>
      <c r="B6" s="24">
        <v>200</v>
      </c>
      <c r="C6" s="24">
        <v>200</v>
      </c>
      <c r="D6" s="25">
        <v>0.66438509989113559</v>
      </c>
      <c r="E6" s="118">
        <f t="shared" ref="E6:E10" si="1">D6^2</f>
        <v>0.44140756095735423</v>
      </c>
      <c r="F6" s="25">
        <v>1.0512004034912977E-2</v>
      </c>
      <c r="G6" s="117">
        <f t="shared" ref="G6:G10" si="2">F6^0.5</f>
        <v>0.10252806462092698</v>
      </c>
      <c r="H6" s="25">
        <f t="shared" ref="H6:H10" si="3">1/F6</f>
        <v>95.129339436966688</v>
      </c>
      <c r="I6" s="25">
        <f t="shared" ref="I6:I10" si="4">F6+$E$18</f>
        <v>4.7824979969051482E-2</v>
      </c>
      <c r="J6" s="25">
        <f t="shared" ref="J6:J10" si="5">1/I6</f>
        <v>20.909574884236655</v>
      </c>
      <c r="M6" s="4" t="s">
        <v>11</v>
      </c>
      <c r="N6" s="8">
        <v>9.4524373360638306E-2</v>
      </c>
      <c r="O6" s="4">
        <v>6</v>
      </c>
      <c r="P6" s="31">
        <f t="shared" si="0"/>
        <v>0.35576463702535904</v>
      </c>
    </row>
    <row r="7" spans="1:16" x14ac:dyDescent="0.25">
      <c r="A7" s="24" t="s">
        <v>11</v>
      </c>
      <c r="B7" s="24">
        <v>60</v>
      </c>
      <c r="C7" s="24">
        <v>60</v>
      </c>
      <c r="D7" s="25">
        <v>9.4524373360638306E-2</v>
      </c>
      <c r="E7" s="118">
        <f t="shared" si="1"/>
        <v>8.9348571592213488E-3</v>
      </c>
      <c r="F7" s="25">
        <v>3.2946813035658447E-2</v>
      </c>
      <c r="G7" s="117">
        <f t="shared" si="2"/>
        <v>0.18151256991089748</v>
      </c>
      <c r="H7" s="25">
        <f t="shared" si="3"/>
        <v>30.351949334756494</v>
      </c>
      <c r="I7" s="25">
        <f t="shared" si="4"/>
        <v>7.0259788969796955E-2</v>
      </c>
      <c r="J7" s="25">
        <f t="shared" si="5"/>
        <v>14.232892165814455</v>
      </c>
      <c r="M7" s="4" t="s">
        <v>12</v>
      </c>
      <c r="N7" s="8">
        <v>0.36654634845797818</v>
      </c>
      <c r="O7" s="4">
        <v>5</v>
      </c>
      <c r="P7" s="31">
        <f t="shared" si="0"/>
        <v>0.43767123170622851</v>
      </c>
    </row>
    <row r="8" spans="1:16" x14ac:dyDescent="0.25">
      <c r="A8" s="24" t="s">
        <v>12</v>
      </c>
      <c r="B8" s="24">
        <v>40</v>
      </c>
      <c r="C8" s="24">
        <v>40</v>
      </c>
      <c r="D8" s="25">
        <v>0.36654634845797818</v>
      </c>
      <c r="E8" s="118">
        <f t="shared" si="1"/>
        <v>0.13435622556787757</v>
      </c>
      <c r="F8" s="25">
        <v>4.986362637006643E-2</v>
      </c>
      <c r="G8" s="117">
        <f t="shared" si="2"/>
        <v>0.22330164882970843</v>
      </c>
      <c r="H8" s="25">
        <f t="shared" si="3"/>
        <v>20.054698641017989</v>
      </c>
      <c r="I8" s="25">
        <f t="shared" si="4"/>
        <v>8.7176602304204931E-2</v>
      </c>
      <c r="J8" s="25">
        <f t="shared" si="5"/>
        <v>11.47096782357352</v>
      </c>
      <c r="M8" s="4" t="s">
        <v>13</v>
      </c>
      <c r="N8" s="8">
        <v>0.46180797677414176</v>
      </c>
      <c r="O8" s="4">
        <v>4</v>
      </c>
      <c r="P8" s="31">
        <f t="shared" si="0"/>
        <v>0.40476026462419351</v>
      </c>
    </row>
    <row r="9" spans="1:16" x14ac:dyDescent="0.25">
      <c r="A9" s="24" t="s">
        <v>13</v>
      </c>
      <c r="B9" s="24">
        <v>50</v>
      </c>
      <c r="C9" s="24">
        <v>45</v>
      </c>
      <c r="D9" s="25">
        <v>0.46180797677414176</v>
      </c>
      <c r="E9" s="118">
        <f t="shared" si="1"/>
        <v>0.21326660741222625</v>
      </c>
      <c r="F9" s="25">
        <v>4.2646520152709068E-2</v>
      </c>
      <c r="G9" s="117">
        <f t="shared" si="2"/>
        <v>0.20651033909397629</v>
      </c>
      <c r="H9" s="25">
        <f t="shared" si="3"/>
        <v>23.44857203868429</v>
      </c>
      <c r="I9" s="25">
        <f t="shared" si="4"/>
        <v>7.9959496086847576E-2</v>
      </c>
      <c r="J9" s="25">
        <f t="shared" si="5"/>
        <v>12.506331942285572</v>
      </c>
      <c r="M9" s="4" t="s">
        <v>14</v>
      </c>
      <c r="N9" s="8">
        <v>0.18516464424648887</v>
      </c>
      <c r="O9" s="4">
        <v>3</v>
      </c>
      <c r="P9" s="31">
        <f t="shared" si="0"/>
        <v>0.29994677540389297</v>
      </c>
    </row>
    <row r="10" spans="1:16" x14ac:dyDescent="0.25">
      <c r="A10" s="24" t="s">
        <v>14</v>
      </c>
      <c r="B10" s="24">
        <v>85</v>
      </c>
      <c r="C10" s="24">
        <v>85</v>
      </c>
      <c r="D10" s="25">
        <v>0.18516464424648887</v>
      </c>
      <c r="E10" s="118">
        <f t="shared" si="1"/>
        <v>3.4285945478928784E-2</v>
      </c>
      <c r="F10" s="25">
        <v>2.3419426300289828E-2</v>
      </c>
      <c r="G10" s="117">
        <f t="shared" si="2"/>
        <v>0.15303406908361886</v>
      </c>
      <c r="H10" s="25">
        <f t="shared" si="3"/>
        <v>42.699594224800649</v>
      </c>
      <c r="I10" s="25">
        <f t="shared" si="4"/>
        <v>6.0732402234428336E-2</v>
      </c>
      <c r="J10" s="25">
        <f t="shared" si="5"/>
        <v>16.465675046739946</v>
      </c>
      <c r="M10" s="75" t="s">
        <v>23</v>
      </c>
      <c r="N10" s="8">
        <f>A14</f>
        <v>0.41428749075789617</v>
      </c>
      <c r="O10" s="4">
        <v>2</v>
      </c>
      <c r="P10" s="31">
        <f>1.96*C14</f>
        <v>0.12541132901950677</v>
      </c>
    </row>
    <row r="11" spans="1:16" ht="15.75" x14ac:dyDescent="0.25">
      <c r="G11" s="78"/>
      <c r="H11"/>
      <c r="J11" s="32"/>
      <c r="M11" s="75" t="s">
        <v>25</v>
      </c>
      <c r="N11" s="8">
        <f>F18</f>
        <v>0.35823457483848181</v>
      </c>
      <c r="O11" s="4">
        <v>1</v>
      </c>
      <c r="P11" s="31">
        <f>1.96*H18</f>
        <v>0.20627298099817809</v>
      </c>
    </row>
    <row r="12" spans="1:16" x14ac:dyDescent="0.25">
      <c r="A12" s="28" t="s">
        <v>26</v>
      </c>
    </row>
    <row r="13" spans="1:16" s="23" customFormat="1" ht="45" x14ac:dyDescent="0.25">
      <c r="A13" s="27" t="s">
        <v>89</v>
      </c>
      <c r="B13" s="27" t="s">
        <v>90</v>
      </c>
      <c r="C13" s="27" t="s">
        <v>61</v>
      </c>
      <c r="D13" s="27" t="s">
        <v>62</v>
      </c>
      <c r="E13" s="27" t="s">
        <v>27</v>
      </c>
      <c r="F13" s="27" t="s">
        <v>7</v>
      </c>
      <c r="G13" s="27" t="s">
        <v>8</v>
      </c>
      <c r="H13" s="26"/>
      <c r="I13" s="26"/>
      <c r="J13" s="26"/>
    </row>
    <row r="14" spans="1:16" x14ac:dyDescent="0.25">
      <c r="A14" s="8">
        <f>SUMPRODUCT(H5:H10,D5:D10)/SUM(H5:H10)</f>
        <v>0.41428749075789617</v>
      </c>
      <c r="B14" s="25">
        <f>1/SUM(H5:H10)</f>
        <v>4.0941278234170606E-3</v>
      </c>
      <c r="C14" s="25">
        <f>B14^0.5</f>
        <v>6.3985371948727943E-2</v>
      </c>
      <c r="D14" s="25">
        <f>A14/C14</f>
        <v>6.4747219269096146</v>
      </c>
      <c r="E14" s="7">
        <f>2*(1-_xlfn.NORM.S.DIST(D14,TRUE))</f>
        <v>9.4986685184039743E-11</v>
      </c>
      <c r="F14" s="25">
        <f>A14-1.96*C14</f>
        <v>0.28887616173838937</v>
      </c>
      <c r="G14" s="25">
        <f>A14+1.96*C14</f>
        <v>0.53969881977740297</v>
      </c>
    </row>
    <row r="16" spans="1:16" x14ac:dyDescent="0.25">
      <c r="A16" s="28" t="s">
        <v>28</v>
      </c>
    </row>
    <row r="17" spans="1:12" s="23" customFormat="1" ht="45" x14ac:dyDescent="0.25">
      <c r="A17" s="27" t="s">
        <v>29</v>
      </c>
      <c r="B17" s="27" t="s">
        <v>30</v>
      </c>
      <c r="C17" s="27" t="s">
        <v>91</v>
      </c>
      <c r="D17" s="27" t="s">
        <v>94</v>
      </c>
      <c r="E17" s="27" t="s">
        <v>95</v>
      </c>
      <c r="F17" s="27" t="s">
        <v>92</v>
      </c>
      <c r="G17" s="27" t="s">
        <v>93</v>
      </c>
      <c r="H17" s="27" t="s">
        <v>63</v>
      </c>
      <c r="I17" s="27" t="s">
        <v>64</v>
      </c>
      <c r="J17" s="27" t="s">
        <v>27</v>
      </c>
      <c r="K17" s="27" t="s">
        <v>7</v>
      </c>
      <c r="L17" s="27" t="s">
        <v>8</v>
      </c>
    </row>
    <row r="18" spans="1:12" x14ac:dyDescent="0.25">
      <c r="A18" s="24">
        <f>COUNT(B5:B10)</f>
        <v>6</v>
      </c>
      <c r="B18" s="24">
        <f>A18-1</f>
        <v>5</v>
      </c>
      <c r="C18" s="25">
        <f>SUMPRODUCT(E5:E10,H5:H10)-SUMPRODUCT(D5:D10,H5:H10)^2/SUM(H5:H10)</f>
        <v>12.004596297643076</v>
      </c>
      <c r="D18" s="25">
        <f>SUM(H5:H10)-SUMPRODUCT(H5:H10,H5:H10)/SUM(H5:H10)</f>
        <v>187.72547946877665</v>
      </c>
      <c r="E18" s="25">
        <f>(C18-B18)/D18</f>
        <v>3.7312975934138508E-2</v>
      </c>
      <c r="F18" s="25">
        <f>SUMPRODUCT(D5:D10,J5:J10)/SUM(J5:J10)</f>
        <v>0.35823457483848181</v>
      </c>
      <c r="G18" s="25">
        <f>1/SUM(J5:J10)</f>
        <v>1.1075734769334324E-2</v>
      </c>
      <c r="H18" s="25">
        <f>G18^0.5</f>
        <v>0.10524131683580515</v>
      </c>
      <c r="I18" s="25">
        <f>F18/H18</f>
        <v>3.4039347435892537</v>
      </c>
      <c r="J18" s="7">
        <f>2*(1-_xlfn.NORM.S.DIST(I18,TRUE))</f>
        <v>6.6422619829875629E-4</v>
      </c>
      <c r="K18" s="25">
        <f>F18-1.96*H18</f>
        <v>0.15196159384030372</v>
      </c>
      <c r="L18" s="25">
        <f>F18+1.96*H18</f>
        <v>0.5645075558366599</v>
      </c>
    </row>
    <row r="20" spans="1:12" x14ac:dyDescent="0.25">
      <c r="A20" s="28" t="s">
        <v>33</v>
      </c>
    </row>
    <row r="21" spans="1:12" x14ac:dyDescent="0.25">
      <c r="A21" s="24" t="s">
        <v>23</v>
      </c>
      <c r="B21" s="25">
        <f>A14</f>
        <v>0.41428749075789617</v>
      </c>
      <c r="C21" s="24">
        <v>1</v>
      </c>
      <c r="D21" s="24">
        <f>1.96*C14</f>
        <v>0.12541132901950677</v>
      </c>
    </row>
    <row r="22" spans="1:12" x14ac:dyDescent="0.25">
      <c r="A22" s="24" t="s">
        <v>25</v>
      </c>
      <c r="B22" s="25">
        <f>F18</f>
        <v>0.35823457483848181</v>
      </c>
      <c r="C22" s="24">
        <v>2</v>
      </c>
      <c r="D22" s="24">
        <f>1.96*H18</f>
        <v>0.20627298099817809</v>
      </c>
    </row>
    <row r="24" spans="1:12" x14ac:dyDescent="0.25">
      <c r="A24" s="28" t="s">
        <v>34</v>
      </c>
    </row>
    <row r="25" spans="1:12" ht="35.25" customHeight="1" x14ac:dyDescent="0.25">
      <c r="A25" s="17" t="s">
        <v>29</v>
      </c>
      <c r="B25" s="17" t="s">
        <v>35</v>
      </c>
      <c r="C25" s="17" t="s">
        <v>32</v>
      </c>
      <c r="D25" s="17" t="s">
        <v>25</v>
      </c>
      <c r="E25" s="17" t="s">
        <v>36</v>
      </c>
      <c r="F25" s="17" t="s">
        <v>37</v>
      </c>
      <c r="G25" s="27" t="s">
        <v>7</v>
      </c>
      <c r="H25" s="27" t="s">
        <v>8</v>
      </c>
    </row>
    <row r="26" spans="1:12" x14ac:dyDescent="0.25">
      <c r="A26" s="17">
        <v>6</v>
      </c>
      <c r="B26" s="17">
        <f>A26-2</f>
        <v>4</v>
      </c>
      <c r="C26" s="29">
        <f>E18</f>
        <v>3.7312975934138508E-2</v>
      </c>
      <c r="D26" s="29">
        <f>F18</f>
        <v>0.35823457483848181</v>
      </c>
      <c r="E26" s="29">
        <f>G18</f>
        <v>1.1075734769334324E-2</v>
      </c>
      <c r="F26" s="29">
        <f>_xlfn.T.INV.2T(0.05,B26)</f>
        <v>2.7764451051977934</v>
      </c>
      <c r="G26" s="29">
        <f>D26-F26*(C26+E26)^0.5</f>
        <v>-0.2525121075321915</v>
      </c>
      <c r="H26" s="29">
        <f>D26+F26*(C26+E26)^0.5</f>
        <v>0.96898125720915518</v>
      </c>
    </row>
    <row r="28" spans="1:12" x14ac:dyDescent="0.25">
      <c r="A28" s="28" t="s">
        <v>38</v>
      </c>
    </row>
    <row r="29" spans="1:12" x14ac:dyDescent="0.25">
      <c r="A29" s="17" t="s">
        <v>29</v>
      </c>
      <c r="B29" s="17" t="s">
        <v>30</v>
      </c>
      <c r="C29" s="17" t="s">
        <v>25</v>
      </c>
      <c r="D29" s="17" t="s">
        <v>31</v>
      </c>
      <c r="E29" s="17" t="s">
        <v>6</v>
      </c>
      <c r="F29" s="17" t="s">
        <v>32</v>
      </c>
      <c r="G29" s="17" t="s">
        <v>39</v>
      </c>
      <c r="H29" s="17" t="s">
        <v>40</v>
      </c>
    </row>
    <row r="30" spans="1:12" x14ac:dyDescent="0.25">
      <c r="A30" s="17">
        <v>6</v>
      </c>
      <c r="B30" s="17">
        <f>A30-1</f>
        <v>5</v>
      </c>
      <c r="C30" s="29">
        <f>F18</f>
        <v>0.35823457483848181</v>
      </c>
      <c r="D30" s="29">
        <f>C18</f>
        <v>12.004596297643076</v>
      </c>
      <c r="E30" s="17">
        <f>_xlfn.CHISQ.DIST.RT(D30,B30)</f>
        <v>3.4724854858657644E-2</v>
      </c>
      <c r="F30" s="29">
        <f>E18</f>
        <v>3.7312975934138508E-2</v>
      </c>
      <c r="G30" s="29">
        <f>F30^0.5</f>
        <v>0.19316566965726209</v>
      </c>
      <c r="H30" s="30">
        <f>(D30-B30)*100/D30</f>
        <v>58.3492865896567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1EF1-FABB-4AB8-8A42-A885952C0D06}">
  <dimension ref="A1:I55"/>
  <sheetViews>
    <sheetView zoomScale="80" zoomScaleNormal="80" workbookViewId="0">
      <selection activeCell="J18" sqref="J18"/>
    </sheetView>
  </sheetViews>
  <sheetFormatPr baseColWidth="10" defaultRowHeight="15" x14ac:dyDescent="0.25"/>
  <cols>
    <col min="1" max="1" width="11.140625" style="33" customWidth="1"/>
    <col min="2" max="2" width="11.42578125" style="33"/>
    <col min="3" max="3" width="15.140625" style="33" customWidth="1"/>
    <col min="4" max="6" width="11.42578125" style="33"/>
    <col min="7" max="7" width="13" style="33" customWidth="1"/>
    <col min="8" max="16384" width="11.42578125" style="33"/>
  </cols>
  <sheetData>
    <row r="1" spans="1:8" x14ac:dyDescent="0.25">
      <c r="A1" s="110" t="s">
        <v>65</v>
      </c>
      <c r="B1" s="111" t="s">
        <v>69</v>
      </c>
      <c r="C1" s="34"/>
      <c r="D1" s="34"/>
      <c r="E1" s="34"/>
      <c r="F1" s="35"/>
      <c r="H1" s="34"/>
    </row>
    <row r="2" spans="1:8" ht="15.75" thickBot="1" x14ac:dyDescent="0.3">
      <c r="B2" s="34"/>
      <c r="C2" s="34"/>
      <c r="D2" s="34"/>
      <c r="E2" s="34"/>
      <c r="F2" s="35"/>
      <c r="H2" s="34"/>
    </row>
    <row r="3" spans="1:8" s="36" customFormat="1" ht="15.75" x14ac:dyDescent="0.25">
      <c r="A3" s="120" t="s">
        <v>41</v>
      </c>
      <c r="B3" s="121"/>
      <c r="C3" s="121"/>
      <c r="D3" s="121"/>
      <c r="E3" s="121"/>
      <c r="F3" s="121"/>
      <c r="G3" s="121"/>
      <c r="H3" s="122"/>
    </row>
    <row r="4" spans="1:8" s="36" customFormat="1" ht="33" customHeight="1" x14ac:dyDescent="0.25">
      <c r="A4" s="37"/>
      <c r="B4" s="38" t="s">
        <v>2</v>
      </c>
      <c r="C4" s="38" t="s">
        <v>42</v>
      </c>
      <c r="D4" s="38" t="s">
        <v>4</v>
      </c>
      <c r="E4" s="38" t="s">
        <v>20</v>
      </c>
      <c r="F4" s="39" t="s">
        <v>43</v>
      </c>
      <c r="G4" s="38" t="s">
        <v>21</v>
      </c>
      <c r="H4" s="40" t="s">
        <v>22</v>
      </c>
    </row>
    <row r="5" spans="1:8" x14ac:dyDescent="0.25">
      <c r="A5" s="41" t="s">
        <v>9</v>
      </c>
      <c r="B5" s="42">
        <v>0.27735640148036095</v>
      </c>
      <c r="C5" s="43">
        <f t="shared" ref="C5:C10" si="0">B5^2</f>
        <v>7.6926573442135174E-2</v>
      </c>
      <c r="D5" s="42">
        <v>3.0704880168783876E-2</v>
      </c>
      <c r="E5" s="43">
        <f>1/D5</f>
        <v>32.568112772400596</v>
      </c>
      <c r="F5" s="44">
        <f>E5^2</f>
        <v>1060.6819695558029</v>
      </c>
      <c r="G5" s="45">
        <f>D5+$A$42</f>
        <v>4.8282054584751058E-2</v>
      </c>
      <c r="H5" s="46">
        <f t="shared" ref="H5:H10" si="1">1/G5</f>
        <v>20.711628960293467</v>
      </c>
    </row>
    <row r="6" spans="1:8" x14ac:dyDescent="0.25">
      <c r="A6" s="41" t="s">
        <v>10</v>
      </c>
      <c r="B6" s="42">
        <v>0.66438509989113559</v>
      </c>
      <c r="C6" s="43">
        <f t="shared" si="0"/>
        <v>0.44140756095735423</v>
      </c>
      <c r="D6" s="42">
        <v>1.0512004034912977E-2</v>
      </c>
      <c r="E6" s="43">
        <f t="shared" ref="E6:E10" si="2">1/D6</f>
        <v>95.129339436966688</v>
      </c>
      <c r="F6" s="44">
        <f t="shared" ref="F6:F10" si="3">E6^2</f>
        <v>9049.5912217136265</v>
      </c>
      <c r="G6" s="45">
        <f t="shared" ref="G6:G10" si="4">D6+$A$42</f>
        <v>2.8089178450880159E-2</v>
      </c>
      <c r="H6" s="46">
        <f t="shared" si="1"/>
        <v>35.600898821185197</v>
      </c>
    </row>
    <row r="7" spans="1:8" x14ac:dyDescent="0.25">
      <c r="A7" s="41" t="s">
        <v>11</v>
      </c>
      <c r="B7" s="42">
        <v>9.4524373360638306E-2</v>
      </c>
      <c r="C7" s="43">
        <f t="shared" si="0"/>
        <v>8.9348571592213488E-3</v>
      </c>
      <c r="D7" s="42">
        <v>3.2946813035658447E-2</v>
      </c>
      <c r="E7" s="43">
        <f t="shared" si="2"/>
        <v>30.351949334756494</v>
      </c>
      <c r="F7" s="44">
        <f t="shared" si="3"/>
        <v>921.24082841962513</v>
      </c>
      <c r="G7" s="45">
        <f t="shared" si="4"/>
        <v>5.0523987451625632E-2</v>
      </c>
      <c r="H7" s="46">
        <f t="shared" si="1"/>
        <v>19.792578742076792</v>
      </c>
    </row>
    <row r="8" spans="1:8" x14ac:dyDescent="0.25">
      <c r="A8" s="41" t="s">
        <v>12</v>
      </c>
      <c r="B8" s="42">
        <v>0.36654634845797818</v>
      </c>
      <c r="C8" s="43">
        <f t="shared" si="0"/>
        <v>0.13435622556787757</v>
      </c>
      <c r="D8" s="42">
        <v>4.986362637006643E-2</v>
      </c>
      <c r="E8" s="43">
        <f t="shared" si="2"/>
        <v>20.054698641017989</v>
      </c>
      <c r="F8" s="44">
        <f t="shared" si="3"/>
        <v>402.19093758204878</v>
      </c>
      <c r="G8" s="45">
        <f t="shared" si="4"/>
        <v>6.7440800786033608E-2</v>
      </c>
      <c r="H8" s="46">
        <f t="shared" si="1"/>
        <v>14.82781918875274</v>
      </c>
    </row>
    <row r="9" spans="1:8" x14ac:dyDescent="0.25">
      <c r="A9" s="41" t="s">
        <v>13</v>
      </c>
      <c r="B9" s="42">
        <v>0.46180797677414176</v>
      </c>
      <c r="C9" s="43">
        <f t="shared" si="0"/>
        <v>0.21326660741222625</v>
      </c>
      <c r="D9" s="42">
        <v>4.2646520152709068E-2</v>
      </c>
      <c r="E9" s="43">
        <f t="shared" si="2"/>
        <v>23.44857203868429</v>
      </c>
      <c r="F9" s="44">
        <f t="shared" si="3"/>
        <v>549.83553065336673</v>
      </c>
      <c r="G9" s="45">
        <f t="shared" si="4"/>
        <v>6.0223694568676253E-2</v>
      </c>
      <c r="H9" s="46">
        <f t="shared" si="1"/>
        <v>16.604760089231114</v>
      </c>
    </row>
    <row r="10" spans="1:8" x14ac:dyDescent="0.25">
      <c r="A10" s="41" t="s">
        <v>14</v>
      </c>
      <c r="B10" s="42">
        <v>0.18516464424648887</v>
      </c>
      <c r="C10" s="43">
        <f t="shared" si="0"/>
        <v>3.4285945478928784E-2</v>
      </c>
      <c r="D10" s="42">
        <v>2.3419426300289828E-2</v>
      </c>
      <c r="E10" s="43">
        <f t="shared" si="2"/>
        <v>42.699594224800649</v>
      </c>
      <c r="F10" s="44">
        <f t="shared" si="3"/>
        <v>1823.2553469626289</v>
      </c>
      <c r="G10" s="45">
        <f t="shared" si="4"/>
        <v>4.0996600716257006E-2</v>
      </c>
      <c r="H10" s="46">
        <f t="shared" si="1"/>
        <v>24.392266249612611</v>
      </c>
    </row>
    <row r="11" spans="1:8" x14ac:dyDescent="0.25">
      <c r="A11" s="47"/>
      <c r="B11" s="48"/>
      <c r="C11" s="48"/>
      <c r="D11" s="48"/>
      <c r="E11" s="48"/>
      <c r="F11" s="49"/>
      <c r="G11" s="50"/>
      <c r="H11" s="51"/>
    </row>
    <row r="12" spans="1:8" x14ac:dyDescent="0.25">
      <c r="A12" s="52" t="s">
        <v>29</v>
      </c>
      <c r="B12" s="53" t="s">
        <v>30</v>
      </c>
      <c r="C12" s="54" t="s">
        <v>96</v>
      </c>
      <c r="D12" s="54" t="s">
        <v>97</v>
      </c>
      <c r="E12" s="55" t="s">
        <v>98</v>
      </c>
      <c r="F12" s="56" t="s">
        <v>99</v>
      </c>
      <c r="G12" s="57" t="s">
        <v>100</v>
      </c>
      <c r="H12" s="51"/>
    </row>
    <row r="13" spans="1:8" ht="15.75" thickBot="1" x14ac:dyDescent="0.3">
      <c r="A13" s="58">
        <f>COUNT(B5:B10)</f>
        <v>6</v>
      </c>
      <c r="B13" s="59">
        <f>A13-1</f>
        <v>5</v>
      </c>
      <c r="C13" s="60">
        <f>SUMPRODUCT(C5:C10,E5:E10)-(SUMPRODUCT(B5:B10,E5:E10))^2/(SUM(E5:E10))</f>
        <v>12.004596297643076</v>
      </c>
      <c r="D13" s="60">
        <f>SUM(E5:E10)-(SUM(F5:F10)/SUM(E5:E10))</f>
        <v>187.72547946877665</v>
      </c>
      <c r="E13" s="61">
        <f>SUMPRODUCT(H5:H10,C5:C10)-(SUMPRODUCT(H5:H10,B5:B10)^2/SUM(H5:H10))</f>
        <v>5.738458527651968</v>
      </c>
      <c r="F13" s="62">
        <f>(SUMPRODUCT(H5:H10,B5:B10)/SUM(H5:H10))</f>
        <v>0.37056005010838822</v>
      </c>
      <c r="G13" s="63">
        <f>1/(SUM(H5:H10))</f>
        <v>7.5797799093588669E-3</v>
      </c>
      <c r="H13" s="64"/>
    </row>
    <row r="14" spans="1:8" ht="15.75" thickBot="1" x14ac:dyDescent="0.3">
      <c r="A14" s="65"/>
      <c r="B14" s="66"/>
      <c r="C14" s="67"/>
      <c r="D14" s="67"/>
      <c r="E14" s="68"/>
      <c r="F14" s="49"/>
      <c r="G14" s="50"/>
      <c r="H14" s="34"/>
    </row>
    <row r="15" spans="1:8" s="36" customFormat="1" ht="15.75" x14ac:dyDescent="0.25">
      <c r="A15" s="120" t="s">
        <v>45</v>
      </c>
      <c r="B15" s="121"/>
      <c r="C15" s="121"/>
      <c r="D15" s="121"/>
      <c r="E15" s="121"/>
      <c r="F15" s="121"/>
      <c r="G15" s="121"/>
      <c r="H15" s="122"/>
    </row>
    <row r="16" spans="1:8" ht="33" customHeight="1" x14ac:dyDescent="0.25">
      <c r="A16" s="37"/>
      <c r="B16" s="38" t="s">
        <v>2</v>
      </c>
      <c r="C16" s="38" t="s">
        <v>42</v>
      </c>
      <c r="D16" s="38" t="s">
        <v>4</v>
      </c>
      <c r="E16" s="38" t="s">
        <v>20</v>
      </c>
      <c r="F16" s="39" t="s">
        <v>43</v>
      </c>
      <c r="G16" s="38" t="s">
        <v>21</v>
      </c>
      <c r="H16" s="40" t="s">
        <v>22</v>
      </c>
    </row>
    <row r="17" spans="1:8" x14ac:dyDescent="0.25">
      <c r="A17" s="41" t="s">
        <v>52</v>
      </c>
      <c r="B17" s="50">
        <v>0.44</v>
      </c>
      <c r="C17" s="43">
        <f t="shared" ref="C17:C21" si="5">B17^2</f>
        <v>0.19359999999999999</v>
      </c>
      <c r="D17" s="43">
        <v>1.4999999999999999E-2</v>
      </c>
      <c r="E17" s="43">
        <f>1/D17</f>
        <v>66.666666666666671</v>
      </c>
      <c r="F17" s="44">
        <f>E17^2</f>
        <v>4444.4444444444453</v>
      </c>
      <c r="G17" s="45">
        <f>D17+$A$42</f>
        <v>3.2577174415967178E-2</v>
      </c>
      <c r="H17" s="46">
        <f t="shared" ref="H17:H21" si="6">1/G17</f>
        <v>30.696339321247766</v>
      </c>
    </row>
    <row r="18" spans="1:8" x14ac:dyDescent="0.25">
      <c r="A18" s="41" t="s">
        <v>48</v>
      </c>
      <c r="B18" s="69">
        <v>0.49199999999999999</v>
      </c>
      <c r="C18" s="43">
        <f t="shared" si="5"/>
        <v>0.242064</v>
      </c>
      <c r="D18" s="43">
        <v>0.02</v>
      </c>
      <c r="E18" s="43">
        <f t="shared" ref="E18:E21" si="7">1/D18</f>
        <v>50</v>
      </c>
      <c r="F18" s="44">
        <f>E18^2</f>
        <v>2500</v>
      </c>
      <c r="G18" s="45">
        <f>D18+$A$42</f>
        <v>3.7577174415967182E-2</v>
      </c>
      <c r="H18" s="46">
        <f t="shared" si="6"/>
        <v>26.611899791355334</v>
      </c>
    </row>
    <row r="19" spans="1:8" s="36" customFormat="1" x14ac:dyDescent="0.25">
      <c r="A19" s="41" t="s">
        <v>49</v>
      </c>
      <c r="B19" s="69">
        <v>0.65100000000000002</v>
      </c>
      <c r="C19" s="43">
        <f t="shared" si="5"/>
        <v>0.42380100000000004</v>
      </c>
      <c r="D19" s="43">
        <v>1.4999999999999999E-2</v>
      </c>
      <c r="E19" s="43">
        <f t="shared" si="7"/>
        <v>66.666666666666671</v>
      </c>
      <c r="F19" s="44">
        <f>E19^2</f>
        <v>4444.4444444444453</v>
      </c>
      <c r="G19" s="45">
        <f>D19+$A$42</f>
        <v>3.2577174415967178E-2</v>
      </c>
      <c r="H19" s="46">
        <f t="shared" si="6"/>
        <v>30.696339321247766</v>
      </c>
    </row>
    <row r="20" spans="1:8" x14ac:dyDescent="0.25">
      <c r="A20" s="41" t="s">
        <v>50</v>
      </c>
      <c r="B20" s="69">
        <v>0.71</v>
      </c>
      <c r="C20" s="43">
        <f t="shared" si="5"/>
        <v>0.50409999999999999</v>
      </c>
      <c r="D20" s="43">
        <v>2.5000000000000001E-2</v>
      </c>
      <c r="E20" s="43">
        <f t="shared" si="7"/>
        <v>40</v>
      </c>
      <c r="F20" s="44">
        <f>E20^2</f>
        <v>1600</v>
      </c>
      <c r="G20" s="45">
        <f>D20+$A$42</f>
        <v>4.2577174415967187E-2</v>
      </c>
      <c r="H20" s="46">
        <f t="shared" si="6"/>
        <v>23.486762889201554</v>
      </c>
    </row>
    <row r="21" spans="1:8" x14ac:dyDescent="0.25">
      <c r="A21" s="41" t="s">
        <v>51</v>
      </c>
      <c r="B21" s="69">
        <v>0.74</v>
      </c>
      <c r="C21" s="43">
        <f t="shared" si="5"/>
        <v>0.54759999999999998</v>
      </c>
      <c r="D21" s="43">
        <v>1.2E-2</v>
      </c>
      <c r="E21" s="43">
        <f t="shared" si="7"/>
        <v>83.333333333333329</v>
      </c>
      <c r="F21" s="44">
        <f>E21^2</f>
        <v>6944.4444444444434</v>
      </c>
      <c r="G21" s="45">
        <f>D21+$A$42</f>
        <v>2.9577174415967182E-2</v>
      </c>
      <c r="H21" s="46">
        <f t="shared" si="6"/>
        <v>33.809855733215407</v>
      </c>
    </row>
    <row r="22" spans="1:8" x14ac:dyDescent="0.25">
      <c r="A22" s="70"/>
      <c r="C22" s="48"/>
      <c r="D22" s="48"/>
      <c r="E22" s="48"/>
      <c r="F22" s="35"/>
      <c r="G22" s="68"/>
      <c r="H22" s="71"/>
    </row>
    <row r="23" spans="1:8" x14ac:dyDescent="0.25">
      <c r="A23" s="52" t="s">
        <v>29</v>
      </c>
      <c r="B23" s="53" t="s">
        <v>30</v>
      </c>
      <c r="C23" s="54" t="s">
        <v>96</v>
      </c>
      <c r="D23" s="54" t="s">
        <v>97</v>
      </c>
      <c r="E23" s="55" t="s">
        <v>98</v>
      </c>
      <c r="F23" s="56" t="s">
        <v>99</v>
      </c>
      <c r="G23" s="57" t="s">
        <v>100</v>
      </c>
      <c r="H23" s="71"/>
    </row>
    <row r="24" spans="1:8" ht="15.75" thickBot="1" x14ac:dyDescent="0.3">
      <c r="A24" s="58">
        <f>COUNT(B17:B21)</f>
        <v>5</v>
      </c>
      <c r="B24" s="59">
        <f>A24-1</f>
        <v>4</v>
      </c>
      <c r="C24" s="60">
        <f>SUMPRODUCT(C17:C21,E17:E21)-(SUMPRODUCT(B17:B21,E17:E21))^2/(SUM(E17:E21))</f>
        <v>4.5429043478260809</v>
      </c>
      <c r="D24" s="60">
        <f>SUM(E17:E21)-(SUM(F17:F21)/SUM(E17:E21))</f>
        <v>241.66666666666669</v>
      </c>
      <c r="E24" s="61">
        <f>SUMPRODUCT(H17:H21,C17:C21)-(SUMPRODUCT(H17:H21,B17:B21)^2/SUM(H17:H21))</f>
        <v>2.1146504420185721</v>
      </c>
      <c r="F24" s="72">
        <f>(SUMPRODUCT(H17:H21,B17:B21)/SUM(H17:H21))</f>
        <v>0.60754940481705155</v>
      </c>
      <c r="G24" s="63">
        <f>1/(SUM(H17:H21))</f>
        <v>6.8822557574164406E-3</v>
      </c>
      <c r="H24" s="73"/>
    </row>
    <row r="25" spans="1:8" ht="15.75" thickBot="1" x14ac:dyDescent="0.3">
      <c r="A25" s="65"/>
      <c r="B25" s="66"/>
      <c r="C25" s="67"/>
      <c r="D25" s="67"/>
      <c r="E25" s="48"/>
      <c r="F25" s="49"/>
      <c r="G25" s="50"/>
      <c r="H25" s="34"/>
    </row>
    <row r="26" spans="1:8" ht="15.75" x14ac:dyDescent="0.25">
      <c r="A26" s="120" t="s">
        <v>46</v>
      </c>
      <c r="B26" s="121"/>
      <c r="C26" s="121"/>
      <c r="D26" s="121"/>
      <c r="E26" s="121"/>
      <c r="F26" s="121"/>
      <c r="G26" s="121"/>
      <c r="H26" s="122"/>
    </row>
    <row r="27" spans="1:8" ht="33.75" customHeight="1" x14ac:dyDescent="0.25">
      <c r="A27" s="37"/>
      <c r="B27" s="101" t="s">
        <v>2</v>
      </c>
      <c r="C27" s="101" t="s">
        <v>42</v>
      </c>
      <c r="D27" s="101" t="s">
        <v>4</v>
      </c>
      <c r="E27" s="101" t="s">
        <v>20</v>
      </c>
      <c r="F27" s="102" t="s">
        <v>43</v>
      </c>
      <c r="G27" s="101" t="s">
        <v>21</v>
      </c>
      <c r="H27" s="103" t="s">
        <v>22</v>
      </c>
    </row>
    <row r="28" spans="1:8" ht="15.75" x14ac:dyDescent="0.25">
      <c r="A28" s="92" t="s">
        <v>9</v>
      </c>
      <c r="B28" s="84">
        <v>0.27735640148036095</v>
      </c>
      <c r="C28" s="84">
        <f t="shared" ref="C28:C38" si="8">B28^2</f>
        <v>7.6926573442135174E-2</v>
      </c>
      <c r="D28" s="84">
        <v>3.0704880168783876E-2</v>
      </c>
      <c r="E28" s="84">
        <f>1/D28</f>
        <v>32.568112772400596</v>
      </c>
      <c r="F28" s="93">
        <f t="shared" ref="F28:F38" si="9">E28^2</f>
        <v>1060.6819695558029</v>
      </c>
      <c r="G28" s="94">
        <f t="shared" ref="G28:G38" si="10">D28+$A$42</f>
        <v>4.8282054584751058E-2</v>
      </c>
      <c r="H28" s="95">
        <f t="shared" ref="H28:H38" si="11">1/G28</f>
        <v>20.711628960293467</v>
      </c>
    </row>
    <row r="29" spans="1:8" ht="15.75" x14ac:dyDescent="0.25">
      <c r="A29" s="92" t="s">
        <v>10</v>
      </c>
      <c r="B29" s="84">
        <v>0.66438509989113559</v>
      </c>
      <c r="C29" s="84">
        <f t="shared" si="8"/>
        <v>0.44140756095735423</v>
      </c>
      <c r="D29" s="84">
        <v>1.0512004034912977E-2</v>
      </c>
      <c r="E29" s="84">
        <f t="shared" ref="E29:E38" si="12">1/D29</f>
        <v>95.129339436966688</v>
      </c>
      <c r="F29" s="93">
        <f t="shared" si="9"/>
        <v>9049.5912217136265</v>
      </c>
      <c r="G29" s="94">
        <f t="shared" si="10"/>
        <v>2.8089178450880159E-2</v>
      </c>
      <c r="H29" s="95">
        <f t="shared" si="11"/>
        <v>35.600898821185197</v>
      </c>
    </row>
    <row r="30" spans="1:8" ht="15.75" x14ac:dyDescent="0.25">
      <c r="A30" s="92" t="s">
        <v>11</v>
      </c>
      <c r="B30" s="84">
        <v>9.4524373360638306E-2</v>
      </c>
      <c r="C30" s="84">
        <f t="shared" si="8"/>
        <v>8.9348571592213488E-3</v>
      </c>
      <c r="D30" s="84">
        <v>3.2946813035658447E-2</v>
      </c>
      <c r="E30" s="84">
        <f t="shared" si="12"/>
        <v>30.351949334756494</v>
      </c>
      <c r="F30" s="93">
        <f t="shared" si="9"/>
        <v>921.24082841962513</v>
      </c>
      <c r="G30" s="94">
        <f t="shared" si="10"/>
        <v>5.0523987451625632E-2</v>
      </c>
      <c r="H30" s="95">
        <f t="shared" si="11"/>
        <v>19.792578742076792</v>
      </c>
    </row>
    <row r="31" spans="1:8" ht="15.75" x14ac:dyDescent="0.25">
      <c r="A31" s="92" t="s">
        <v>12</v>
      </c>
      <c r="B31" s="84">
        <v>0.36654634845797818</v>
      </c>
      <c r="C31" s="84">
        <f t="shared" si="8"/>
        <v>0.13435622556787757</v>
      </c>
      <c r="D31" s="84">
        <v>4.986362637006643E-2</v>
      </c>
      <c r="E31" s="84">
        <f t="shared" si="12"/>
        <v>20.054698641017989</v>
      </c>
      <c r="F31" s="93">
        <f t="shared" si="9"/>
        <v>402.19093758204878</v>
      </c>
      <c r="G31" s="94">
        <f t="shared" si="10"/>
        <v>6.7440800786033608E-2</v>
      </c>
      <c r="H31" s="95">
        <f t="shared" si="11"/>
        <v>14.82781918875274</v>
      </c>
    </row>
    <row r="32" spans="1:8" ht="15.75" x14ac:dyDescent="0.25">
      <c r="A32" s="92" t="s">
        <v>13</v>
      </c>
      <c r="B32" s="84">
        <v>0.46180797677414176</v>
      </c>
      <c r="C32" s="84">
        <f t="shared" si="8"/>
        <v>0.21326660741222625</v>
      </c>
      <c r="D32" s="84">
        <v>4.2646520152709068E-2</v>
      </c>
      <c r="E32" s="84">
        <f t="shared" si="12"/>
        <v>23.44857203868429</v>
      </c>
      <c r="F32" s="93">
        <f t="shared" si="9"/>
        <v>549.83553065336673</v>
      </c>
      <c r="G32" s="94">
        <f t="shared" si="10"/>
        <v>6.0223694568676253E-2</v>
      </c>
      <c r="H32" s="95">
        <f t="shared" si="11"/>
        <v>16.604760089231114</v>
      </c>
    </row>
    <row r="33" spans="1:9" ht="15.75" x14ac:dyDescent="0.25">
      <c r="A33" s="92" t="s">
        <v>14</v>
      </c>
      <c r="B33" s="84">
        <v>0.18516464424648887</v>
      </c>
      <c r="C33" s="84">
        <f t="shared" si="8"/>
        <v>3.4285945478928784E-2</v>
      </c>
      <c r="D33" s="84">
        <v>2.3419426300289828E-2</v>
      </c>
      <c r="E33" s="84">
        <f t="shared" si="12"/>
        <v>42.699594224800649</v>
      </c>
      <c r="F33" s="93">
        <f t="shared" si="9"/>
        <v>1823.2553469626289</v>
      </c>
      <c r="G33" s="94">
        <f t="shared" si="10"/>
        <v>4.0996600716257006E-2</v>
      </c>
      <c r="H33" s="95">
        <f t="shared" si="11"/>
        <v>24.392266249612611</v>
      </c>
    </row>
    <row r="34" spans="1:9" ht="15.75" x14ac:dyDescent="0.25">
      <c r="A34" s="92" t="s">
        <v>52</v>
      </c>
      <c r="B34" s="96">
        <v>0.44</v>
      </c>
      <c r="C34" s="84">
        <f t="shared" si="8"/>
        <v>0.19359999999999999</v>
      </c>
      <c r="D34" s="84">
        <v>1.4999999999999999E-2</v>
      </c>
      <c r="E34" s="84">
        <f t="shared" si="12"/>
        <v>66.666666666666671</v>
      </c>
      <c r="F34" s="93">
        <f t="shared" si="9"/>
        <v>4444.4444444444453</v>
      </c>
      <c r="G34" s="94">
        <f t="shared" si="10"/>
        <v>3.2577174415967178E-2</v>
      </c>
      <c r="H34" s="95">
        <f t="shared" si="11"/>
        <v>30.696339321247766</v>
      </c>
    </row>
    <row r="35" spans="1:9" s="34" customFormat="1" ht="15.75" x14ac:dyDescent="0.25">
      <c r="A35" s="92" t="s">
        <v>48</v>
      </c>
      <c r="B35" s="86">
        <v>0.49199999999999999</v>
      </c>
      <c r="C35" s="84">
        <f t="shared" si="8"/>
        <v>0.242064</v>
      </c>
      <c r="D35" s="84">
        <v>0.02</v>
      </c>
      <c r="E35" s="84">
        <f t="shared" si="12"/>
        <v>50</v>
      </c>
      <c r="F35" s="93">
        <f t="shared" si="9"/>
        <v>2500</v>
      </c>
      <c r="G35" s="94">
        <f t="shared" si="10"/>
        <v>3.7577174415967182E-2</v>
      </c>
      <c r="H35" s="95">
        <f t="shared" si="11"/>
        <v>26.611899791355334</v>
      </c>
      <c r="I35" s="33"/>
    </row>
    <row r="36" spans="1:9" s="34" customFormat="1" ht="15.75" x14ac:dyDescent="0.25">
      <c r="A36" s="92" t="s">
        <v>49</v>
      </c>
      <c r="B36" s="86">
        <v>0.65100000000000002</v>
      </c>
      <c r="C36" s="84">
        <f t="shared" si="8"/>
        <v>0.42380100000000004</v>
      </c>
      <c r="D36" s="84">
        <v>1.4999999999999999E-2</v>
      </c>
      <c r="E36" s="84">
        <f t="shared" si="12"/>
        <v>66.666666666666671</v>
      </c>
      <c r="F36" s="93">
        <f t="shared" si="9"/>
        <v>4444.4444444444453</v>
      </c>
      <c r="G36" s="94">
        <f t="shared" si="10"/>
        <v>3.2577174415967178E-2</v>
      </c>
      <c r="H36" s="95">
        <f t="shared" si="11"/>
        <v>30.696339321247766</v>
      </c>
      <c r="I36" s="33"/>
    </row>
    <row r="37" spans="1:9" s="34" customFormat="1" ht="15.75" x14ac:dyDescent="0.25">
      <c r="A37" s="92" t="s">
        <v>50</v>
      </c>
      <c r="B37" s="86">
        <v>0.71</v>
      </c>
      <c r="C37" s="84">
        <f t="shared" si="8"/>
        <v>0.50409999999999999</v>
      </c>
      <c r="D37" s="84">
        <v>2.5000000000000001E-2</v>
      </c>
      <c r="E37" s="84">
        <f t="shared" si="12"/>
        <v>40</v>
      </c>
      <c r="F37" s="93">
        <f t="shared" si="9"/>
        <v>1600</v>
      </c>
      <c r="G37" s="94">
        <f t="shared" si="10"/>
        <v>4.2577174415967187E-2</v>
      </c>
      <c r="H37" s="95">
        <f t="shared" si="11"/>
        <v>23.486762889201554</v>
      </c>
      <c r="I37" s="33"/>
    </row>
    <row r="38" spans="1:9" ht="16.5" thickBot="1" x14ac:dyDescent="0.3">
      <c r="A38" s="92" t="s">
        <v>51</v>
      </c>
      <c r="B38" s="86">
        <v>0.74</v>
      </c>
      <c r="C38" s="84">
        <f t="shared" si="8"/>
        <v>0.54759999999999998</v>
      </c>
      <c r="D38" s="84">
        <v>1.2E-2</v>
      </c>
      <c r="E38" s="97">
        <f t="shared" si="12"/>
        <v>83.333333333333329</v>
      </c>
      <c r="F38" s="98">
        <f t="shared" si="9"/>
        <v>6944.4444444444434</v>
      </c>
      <c r="G38" s="99">
        <f t="shared" si="10"/>
        <v>2.9577174415967182E-2</v>
      </c>
      <c r="H38" s="100">
        <f t="shared" si="11"/>
        <v>33.809855733215407</v>
      </c>
    </row>
    <row r="39" spans="1:9" x14ac:dyDescent="0.25">
      <c r="B39" s="34"/>
      <c r="C39" s="34"/>
      <c r="D39" s="34"/>
      <c r="E39" s="34"/>
      <c r="F39" s="35"/>
      <c r="H39" s="34"/>
    </row>
    <row r="40" spans="1:9" ht="15.75" x14ac:dyDescent="0.25">
      <c r="A40" s="81" t="s">
        <v>57</v>
      </c>
      <c r="F40" s="74"/>
      <c r="G40" s="34"/>
      <c r="H40" s="34"/>
    </row>
    <row r="41" spans="1:9" ht="15" customHeight="1" x14ac:dyDescent="0.25">
      <c r="A41" s="87" t="s">
        <v>47</v>
      </c>
      <c r="B41" s="85" t="s">
        <v>58</v>
      </c>
      <c r="C41" s="85" t="s">
        <v>59</v>
      </c>
      <c r="D41" s="91" t="s">
        <v>60</v>
      </c>
      <c r="E41" s="91" t="s">
        <v>6</v>
      </c>
    </row>
    <row r="42" spans="1:9" ht="15.75" x14ac:dyDescent="0.25">
      <c r="A42" s="88">
        <f>(C13+C24-B13-B24)/(D13+D24)</f>
        <v>1.7577174415967182E-2</v>
      </c>
      <c r="B42" s="83">
        <f>F24-F13</f>
        <v>0.23698935470866334</v>
      </c>
      <c r="C42" s="83">
        <f>G24+G13</f>
        <v>1.4462035666775307E-2</v>
      </c>
      <c r="D42" s="84">
        <f>B42/C42^0.5</f>
        <v>1.9706709939028813</v>
      </c>
      <c r="E42" s="84">
        <f>2*(1-_xlfn.NORM.S.DIST(D42,TRUE))</f>
        <v>4.87615203839602E-2</v>
      </c>
      <c r="F42" s="76"/>
      <c r="G42" s="77"/>
    </row>
    <row r="43" spans="1:9" x14ac:dyDescent="0.25">
      <c r="D43" s="34"/>
    </row>
    <row r="44" spans="1:9" ht="15.75" x14ac:dyDescent="0.25">
      <c r="A44" s="81" t="s">
        <v>56</v>
      </c>
      <c r="D44" s="34"/>
      <c r="F44" s="74"/>
      <c r="G44" s="34"/>
    </row>
    <row r="45" spans="1:9" ht="15.75" x14ac:dyDescent="0.25">
      <c r="A45" s="85" t="s">
        <v>44</v>
      </c>
      <c r="B45" s="89" t="s">
        <v>54</v>
      </c>
      <c r="C45" s="89" t="s">
        <v>55</v>
      </c>
      <c r="D45" s="89" t="s">
        <v>27</v>
      </c>
    </row>
    <row r="46" spans="1:9" ht="15.75" x14ac:dyDescent="0.25">
      <c r="A46" s="84">
        <f>SUMPRODUCT(H28:H38,C28:C38)-SUMPRODUCT(H28:H38,B28:B38)^2/SUM(H28:H38)</f>
        <v>11.736653135880672</v>
      </c>
      <c r="B46" s="84">
        <f>E24+E13</f>
        <v>7.8531089696705401</v>
      </c>
      <c r="C46" s="84">
        <f>A46-B46</f>
        <v>3.8835441662101324</v>
      </c>
      <c r="D46" s="90">
        <f>_xlfn.CHISQ.DIST.RT(C46,1)</f>
        <v>4.8761520383961324E-2</v>
      </c>
    </row>
    <row r="48" spans="1:9" ht="15.75" x14ac:dyDescent="0.25">
      <c r="A48" s="81" t="s">
        <v>53</v>
      </c>
    </row>
    <row r="49" spans="1:4" ht="15.75" x14ac:dyDescent="0.25">
      <c r="A49" s="82" t="s">
        <v>31</v>
      </c>
      <c r="B49" s="82" t="s">
        <v>6</v>
      </c>
      <c r="D49" s="79"/>
    </row>
    <row r="50" spans="1:4" ht="15.75" x14ac:dyDescent="0.25">
      <c r="A50" s="83">
        <f>F13^2/G13+F24^2/G24-(F13/G13+F24/G24)^2/(1/G13+1/G24)</f>
        <v>3.8835441662101573</v>
      </c>
      <c r="B50" s="84">
        <f>_xlfn.CHISQ.DIST.RT(A50,1)</f>
        <v>4.8761520383960602E-2</v>
      </c>
      <c r="D50" s="80"/>
    </row>
    <row r="52" spans="1:4" x14ac:dyDescent="0.25">
      <c r="A52" s="110" t="s">
        <v>75</v>
      </c>
    </row>
    <row r="53" spans="1:4" x14ac:dyDescent="0.25">
      <c r="B53" s="114" t="s">
        <v>25</v>
      </c>
      <c r="C53" s="114" t="s">
        <v>76</v>
      </c>
      <c r="D53" s="114" t="s">
        <v>77</v>
      </c>
    </row>
    <row r="54" spans="1:4" x14ac:dyDescent="0.25">
      <c r="A54" s="115" t="s">
        <v>9</v>
      </c>
      <c r="B54" s="113">
        <f>F13</f>
        <v>0.37056005010838822</v>
      </c>
      <c r="C54" s="55">
        <v>1</v>
      </c>
      <c r="D54" s="55">
        <f>1.96*G13^0.5</f>
        <v>0.17064138565949652</v>
      </c>
    </row>
    <row r="55" spans="1:4" x14ac:dyDescent="0.25">
      <c r="A55" s="115" t="s">
        <v>10</v>
      </c>
      <c r="B55" s="113">
        <f>F24</f>
        <v>0.60754940481705155</v>
      </c>
      <c r="C55" s="55">
        <v>2</v>
      </c>
      <c r="D55" s="55">
        <f>1.96*G24^0.5</f>
        <v>0.16260034968502066</v>
      </c>
    </row>
  </sheetData>
  <mergeCells count="3">
    <mergeCell ref="A3:H3"/>
    <mergeCell ref="A15:H15"/>
    <mergeCell ref="A26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Exemple 7</vt:lpstr>
      <vt:lpstr>Chapitre 8</vt:lpstr>
      <vt:lpstr>Chapitre10.1</vt:lpstr>
      <vt:lpstr>Chapitre10.2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roques</dc:creator>
  <cp:lastModifiedBy>nathalie roques</cp:lastModifiedBy>
  <dcterms:created xsi:type="dcterms:W3CDTF">2021-03-07T18:06:22Z</dcterms:created>
  <dcterms:modified xsi:type="dcterms:W3CDTF">2021-06-30T14:28:21Z</dcterms:modified>
</cp:coreProperties>
</file>